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7.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omments5.xml" ContentType="application/vnd.openxmlformats-officedocument.spreadsheetml.comments+xml"/>
  <Override PartName="/xl/charts/chart7.xml" ContentType="application/vnd.openxmlformats-officedocument.drawingml.chart+xml"/>
  <Override PartName="/xl/charts/chart8.xml" ContentType="application/vnd.openxmlformats-officedocument.drawingml.chart+xml"/>
  <Override PartName="/xl/drawings/drawing18.xml" ContentType="application/vnd.openxmlformats-officedocument.drawing+xml"/>
  <Override PartName="/xl/drawings/drawing19.xml" ContentType="application/vnd.openxmlformats-officedocument.drawing+xml"/>
  <Override PartName="/xl/charts/chart9.xml" ContentType="application/vnd.openxmlformats-officedocument.drawingml.chart+xml"/>
  <Override PartName="/xl/drawings/drawing20.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21.xml" ContentType="application/vnd.openxmlformats-officedocument.drawing+xml"/>
  <Override PartName="/xl/charts/chart12.xml" ContentType="application/vnd.openxmlformats-officedocument.drawingml.chart+xml"/>
  <Override PartName="/xl/drawings/drawing22.xml" ContentType="application/vnd.openxmlformats-officedocument.drawing+xml"/>
  <Override PartName="/xl/charts/chart13.xml" ContentType="application/vnd.openxmlformats-officedocument.drawingml.chart+xml"/>
  <Override PartName="/xl/drawings/drawing23.xml" ContentType="application/vnd.openxmlformats-officedocument.drawing+xml"/>
  <Override PartName="/xl/drawings/drawing24.xml" ContentType="application/vnd.openxmlformats-officedocument.drawing+xml"/>
  <Override PartName="/xl/charts/chart14.xml" ContentType="application/vnd.openxmlformats-officedocument.drawingml.chart+xml"/>
  <Override PartName="/xl/comments6.xml" ContentType="application/vnd.openxmlformats-officedocument.spreadsheetml.comments+xml"/>
  <Override PartName="/xl/drawings/drawing2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MPH-Modules\EP\BS704-EP713_MultivariableMethods\"/>
    </mc:Choice>
  </mc:AlternateContent>
  <bookViews>
    <workbookView xWindow="360" yWindow="30" windowWidth="9390" windowHeight="6375" tabRatio="988" activeTab="4"/>
  </bookViews>
  <sheets>
    <sheet name="Main Menu" sheetId="18" r:id="rId1"/>
    <sheet name="Epidemic curve" sheetId="16" r:id="rId2"/>
    <sheet name="CI - One Group" sheetId="13" r:id="rId3"/>
    <sheet name="Chi Squared Test" sheetId="1" r:id="rId4"/>
    <sheet name="Case-Control" sheetId="2" r:id="rId5"/>
    <sheet name="IR &amp; CI" sheetId="24" r:id="rId6"/>
    <sheet name="Cohort Studies" sheetId="25" r:id="rId7"/>
    <sheet name="Sample Size" sheetId="9" r:id="rId8"/>
    <sheet name="Random # Generator" sheetId="22" r:id="rId9"/>
    <sheet name="Standard Deviation" sheetId="10" r:id="rId10"/>
    <sheet name="Direct Standardization" sheetId="19" r:id="rId11"/>
    <sheet name="Standardized Incidence Ratio" sheetId="20" r:id="rId12"/>
    <sheet name="Poisson Prob" sheetId="34" r:id="rId13"/>
    <sheet name="Binomial Prob." sheetId="35" r:id="rId14"/>
    <sheet name="Normal Probability" sheetId="33" r:id="rId15"/>
    <sheet name="Activity &amp; BMI" sheetId="36" r:id="rId16"/>
    <sheet name="Screening" sheetId="14" r:id="rId17"/>
    <sheet name="Descriptive Statistics" sheetId="21" r:id="rId18"/>
    <sheet name="Skewed Distribution " sheetId="7" r:id="rId19"/>
    <sheet name="T-tests" sheetId="11" r:id="rId20"/>
    <sheet name="T-test (Unpaired)" sheetId="8" r:id="rId21"/>
    <sheet name="Correlation &amp; Linear Regression" sheetId="6" r:id="rId22"/>
    <sheet name="ANOVA" sheetId="17" r:id="rId23"/>
    <sheet name="Survival Curve" sheetId="3" r:id="rId24"/>
    <sheet name="RR(mh)" sheetId="37" r:id="rId25"/>
    <sheet name="Confounding Example" sheetId="39" r:id="rId26"/>
    <sheet name="OR(mh)" sheetId="38" r:id="rId27"/>
    <sheet name="Birth defects" sheetId="31" r:id="rId28"/>
  </sheets>
  <calcPr calcId="152511"/>
</workbook>
</file>

<file path=xl/calcChain.xml><?xml version="1.0" encoding="utf-8"?>
<calcChain xmlns="http://schemas.openxmlformats.org/spreadsheetml/2006/main">
  <c r="C19" i="38" l="1"/>
  <c r="Q8" i="38"/>
  <c r="I13" i="39" l="1"/>
  <c r="H17" i="39" s="1"/>
  <c r="D13" i="39"/>
  <c r="I12" i="39"/>
  <c r="D12" i="39"/>
  <c r="D14" i="39" s="1"/>
  <c r="C6" i="39"/>
  <c r="B6" i="39"/>
  <c r="C5" i="39"/>
  <c r="B5" i="39"/>
  <c r="B7" i="39" s="1"/>
  <c r="F36" i="39"/>
  <c r="F35" i="39"/>
  <c r="F37" i="39" s="1"/>
  <c r="L36" i="39"/>
  <c r="L35" i="39"/>
  <c r="K30" i="39"/>
  <c r="K29" i="39"/>
  <c r="I31" i="39"/>
  <c r="J30" i="39" s="1"/>
  <c r="H31" i="39"/>
  <c r="C31" i="39"/>
  <c r="D29" i="39" s="1"/>
  <c r="B31" i="39"/>
  <c r="E30" i="39"/>
  <c r="E29" i="39"/>
  <c r="H20" i="37"/>
  <c r="H19" i="37"/>
  <c r="W20" i="37"/>
  <c r="W19" i="37"/>
  <c r="R20" i="37"/>
  <c r="R19" i="37"/>
  <c r="W17" i="38"/>
  <c r="R17" i="38"/>
  <c r="W16" i="38"/>
  <c r="R16" i="38"/>
  <c r="M15" i="38"/>
  <c r="V13" i="38"/>
  <c r="Q13" i="38"/>
  <c r="L13" i="38"/>
  <c r="G13" i="38"/>
  <c r="B13" i="38"/>
  <c r="R13" i="38"/>
  <c r="H15" i="38"/>
  <c r="C4" i="38"/>
  <c r="B5" i="38"/>
  <c r="B4" i="38"/>
  <c r="S12" i="37"/>
  <c r="R16" i="37" s="1"/>
  <c r="S11" i="37"/>
  <c r="X12" i="37"/>
  <c r="X11" i="37"/>
  <c r="N12" i="37"/>
  <c r="N11" i="37"/>
  <c r="M20" i="37" s="1"/>
  <c r="H12" i="37"/>
  <c r="I12" i="37" s="1"/>
  <c r="H16" i="37" s="1"/>
  <c r="H11" i="37"/>
  <c r="I11" i="37" s="1"/>
  <c r="H15" i="37" s="1"/>
  <c r="C12" i="37"/>
  <c r="D12" i="37" s="1"/>
  <c r="C16" i="37" s="1"/>
  <c r="C11" i="37"/>
  <c r="B5" i="37"/>
  <c r="B4" i="37"/>
  <c r="P64" i="36"/>
  <c r="P63" i="36"/>
  <c r="P62" i="36"/>
  <c r="P61" i="36"/>
  <c r="P60" i="36"/>
  <c r="P59" i="36"/>
  <c r="P58" i="36"/>
  <c r="P57" i="36"/>
  <c r="P56" i="36"/>
  <c r="P55" i="36"/>
  <c r="P54" i="36"/>
  <c r="P53" i="36"/>
  <c r="P52" i="36"/>
  <c r="P51" i="36"/>
  <c r="P50" i="36"/>
  <c r="P49" i="36"/>
  <c r="P48" i="36"/>
  <c r="P47" i="36"/>
  <c r="P46" i="36"/>
  <c r="P45" i="36"/>
  <c r="P44" i="36"/>
  <c r="P43" i="36"/>
  <c r="P42" i="36"/>
  <c r="P41" i="36"/>
  <c r="P40" i="36"/>
  <c r="P39" i="36"/>
  <c r="P38" i="36"/>
  <c r="P37" i="36"/>
  <c r="P36" i="36"/>
  <c r="P35" i="36"/>
  <c r="P34" i="36"/>
  <c r="P33" i="36"/>
  <c r="P32" i="36"/>
  <c r="P31" i="36"/>
  <c r="P30" i="36"/>
  <c r="P29" i="36"/>
  <c r="P28" i="36"/>
  <c r="P27" i="36"/>
  <c r="P26" i="36"/>
  <c r="P25" i="36"/>
  <c r="P24" i="36"/>
  <c r="P23" i="36"/>
  <c r="P22" i="36"/>
  <c r="P21" i="36"/>
  <c r="P20" i="36"/>
  <c r="P19" i="36"/>
  <c r="P18" i="36"/>
  <c r="P17" i="36"/>
  <c r="P16" i="36"/>
  <c r="J16" i="36"/>
  <c r="P15" i="36"/>
  <c r="J15" i="36"/>
  <c r="P14" i="36"/>
  <c r="L14" i="36"/>
  <c r="L15" i="36"/>
  <c r="J14" i="36"/>
  <c r="P13" i="36"/>
  <c r="Z10" i="36"/>
  <c r="Z9" i="36"/>
  <c r="G9" i="36"/>
  <c r="AA8" i="36"/>
  <c r="Z8" i="36"/>
  <c r="M13" i="36"/>
  <c r="N13" i="36"/>
  <c r="AA9" i="36"/>
  <c r="Z11" i="36"/>
  <c r="L16" i="36"/>
  <c r="Q13" i="36"/>
  <c r="M14" i="36"/>
  <c r="N14" i="36"/>
  <c r="AA10" i="36"/>
  <c r="Z12" i="36"/>
  <c r="L17" i="36"/>
  <c r="Q14" i="36"/>
  <c r="R14" i="36"/>
  <c r="S14" i="36"/>
  <c r="M15" i="36"/>
  <c r="L18" i="36"/>
  <c r="Z13" i="36"/>
  <c r="Q15" i="36"/>
  <c r="R15" i="36"/>
  <c r="S15" i="36"/>
  <c r="M16" i="36"/>
  <c r="N15" i="36"/>
  <c r="AA11" i="36"/>
  <c r="L19" i="36"/>
  <c r="Z14" i="36"/>
  <c r="N16" i="36"/>
  <c r="AA12" i="36"/>
  <c r="Q16" i="36"/>
  <c r="R16" i="36"/>
  <c r="S16" i="36"/>
  <c r="L20" i="36"/>
  <c r="Z15" i="36"/>
  <c r="Z16" i="36"/>
  <c r="L21" i="36"/>
  <c r="M17" i="36"/>
  <c r="N17" i="36"/>
  <c r="AA13" i="36"/>
  <c r="Q17" i="36"/>
  <c r="R17" i="36"/>
  <c r="S17" i="36"/>
  <c r="L22" i="36"/>
  <c r="Z17" i="36"/>
  <c r="L23" i="36"/>
  <c r="Z18" i="36"/>
  <c r="M18" i="36"/>
  <c r="Q18" i="36"/>
  <c r="R18" i="36"/>
  <c r="S18" i="36"/>
  <c r="M19" i="36"/>
  <c r="N18" i="36"/>
  <c r="AA14" i="36"/>
  <c r="L24" i="36"/>
  <c r="Z19" i="36"/>
  <c r="L25" i="36"/>
  <c r="Z20" i="36"/>
  <c r="Q19" i="36"/>
  <c r="R19" i="36"/>
  <c r="S19" i="36"/>
  <c r="M20" i="36"/>
  <c r="N19" i="36"/>
  <c r="AA15" i="36"/>
  <c r="N20" i="36"/>
  <c r="AA16" i="36"/>
  <c r="Q20" i="36"/>
  <c r="R20" i="36"/>
  <c r="S20" i="36"/>
  <c r="L26" i="36"/>
  <c r="Z21" i="36"/>
  <c r="L27" i="36"/>
  <c r="Z22" i="36"/>
  <c r="M21" i="36"/>
  <c r="Q21" i="36"/>
  <c r="R21" i="36"/>
  <c r="S21" i="36"/>
  <c r="N21" i="36"/>
  <c r="AA17" i="36"/>
  <c r="L28" i="36"/>
  <c r="Z23" i="36"/>
  <c r="Z24" i="36"/>
  <c r="L29" i="36"/>
  <c r="M22" i="36"/>
  <c r="N22" i="36"/>
  <c r="AA18" i="36"/>
  <c r="Q22" i="36"/>
  <c r="R22" i="36"/>
  <c r="S22" i="36"/>
  <c r="Z25" i="36"/>
  <c r="L30" i="36"/>
  <c r="L31" i="36"/>
  <c r="Z26" i="36"/>
  <c r="M23" i="36"/>
  <c r="Q23" i="36"/>
  <c r="R23" i="36"/>
  <c r="S23" i="36"/>
  <c r="M24" i="36"/>
  <c r="N23" i="36"/>
  <c r="AA19" i="36"/>
  <c r="L32" i="36"/>
  <c r="Z27" i="36"/>
  <c r="Z28" i="36"/>
  <c r="L33" i="36"/>
  <c r="Q24" i="36"/>
  <c r="R24" i="36"/>
  <c r="S24" i="36"/>
  <c r="M25" i="36"/>
  <c r="N24" i="36"/>
  <c r="AA20" i="36"/>
  <c r="N25" i="36"/>
  <c r="AA21" i="36"/>
  <c r="Q25" i="36"/>
  <c r="R25" i="36"/>
  <c r="S25" i="36"/>
  <c r="Z29" i="36"/>
  <c r="L34" i="36"/>
  <c r="L35" i="36"/>
  <c r="Z30" i="36"/>
  <c r="M26" i="36"/>
  <c r="N26" i="36"/>
  <c r="AA22" i="36"/>
  <c r="Q26" i="36"/>
  <c r="R26" i="36"/>
  <c r="S26" i="36"/>
  <c r="L36" i="36"/>
  <c r="Z31" i="36"/>
  <c r="Z32" i="36"/>
  <c r="L37" i="36"/>
  <c r="M27" i="36"/>
  <c r="Q27" i="36"/>
  <c r="R27" i="36"/>
  <c r="S27" i="36"/>
  <c r="M28" i="36"/>
  <c r="N27" i="36"/>
  <c r="AA23" i="36"/>
  <c r="Z33" i="36"/>
  <c r="L38" i="36"/>
  <c r="L39" i="36"/>
  <c r="Z34" i="36"/>
  <c r="Q28" i="36"/>
  <c r="R28" i="36"/>
  <c r="S28" i="36"/>
  <c r="M29" i="36"/>
  <c r="N28" i="36"/>
  <c r="AA24" i="36"/>
  <c r="N29" i="36"/>
  <c r="AA25" i="36"/>
  <c r="Q29" i="36"/>
  <c r="R29" i="36"/>
  <c r="S29" i="36"/>
  <c r="L40" i="36"/>
  <c r="Z35" i="36"/>
  <c r="Z36" i="36"/>
  <c r="L41" i="36"/>
  <c r="M30" i="36"/>
  <c r="N30" i="36"/>
  <c r="AA26" i="36"/>
  <c r="Q30" i="36"/>
  <c r="R30" i="36"/>
  <c r="S30" i="36"/>
  <c r="Z37" i="36"/>
  <c r="L42" i="36"/>
  <c r="L43" i="36"/>
  <c r="Z38" i="36"/>
  <c r="M31" i="36"/>
  <c r="L44" i="36"/>
  <c r="Z39" i="36"/>
  <c r="Q31" i="36"/>
  <c r="R31" i="36"/>
  <c r="S31" i="36"/>
  <c r="M32" i="36"/>
  <c r="N31" i="36"/>
  <c r="AA27" i="36"/>
  <c r="Q32" i="36"/>
  <c r="R32" i="36"/>
  <c r="S32" i="36"/>
  <c r="N32" i="36"/>
  <c r="AA28" i="36"/>
  <c r="Z40" i="36"/>
  <c r="L45" i="36"/>
  <c r="M33" i="36"/>
  <c r="Z41" i="36"/>
  <c r="L46" i="36"/>
  <c r="L47" i="36"/>
  <c r="Z42" i="36"/>
  <c r="N33" i="36"/>
  <c r="AA29" i="36"/>
  <c r="Q33" i="36"/>
  <c r="R33" i="36"/>
  <c r="S33" i="36"/>
  <c r="M34" i="36"/>
  <c r="N34" i="36"/>
  <c r="AA30" i="36"/>
  <c r="Q34" i="36"/>
  <c r="R34" i="36"/>
  <c r="S34" i="36"/>
  <c r="L48" i="36"/>
  <c r="Z43" i="36"/>
  <c r="Z44" i="36"/>
  <c r="L49" i="36"/>
  <c r="M35" i="36"/>
  <c r="Z45" i="36"/>
  <c r="L50" i="36"/>
  <c r="Q35" i="36"/>
  <c r="R35" i="36"/>
  <c r="S35" i="36"/>
  <c r="M36" i="36"/>
  <c r="N35" i="36"/>
  <c r="AA31" i="36"/>
  <c r="Q36" i="36"/>
  <c r="R36" i="36"/>
  <c r="S36" i="36"/>
  <c r="N36" i="36"/>
  <c r="AA32" i="36"/>
  <c r="L51" i="36"/>
  <c r="Z46" i="36"/>
  <c r="M37" i="36"/>
  <c r="L52" i="36"/>
  <c r="Z47" i="36"/>
  <c r="Z48" i="36"/>
  <c r="L53" i="36"/>
  <c r="N37" i="36"/>
  <c r="AA33" i="36"/>
  <c r="Q37" i="36"/>
  <c r="R37" i="36"/>
  <c r="S37" i="36"/>
  <c r="M38" i="36"/>
  <c r="N38" i="36"/>
  <c r="AA34" i="36"/>
  <c r="Q38" i="36"/>
  <c r="R38" i="36"/>
  <c r="S38" i="36"/>
  <c r="Z49" i="36"/>
  <c r="L54" i="36"/>
  <c r="L55" i="36"/>
  <c r="Z50" i="36"/>
  <c r="M39" i="36"/>
  <c r="Q39" i="36"/>
  <c r="R39" i="36"/>
  <c r="S39" i="36"/>
  <c r="M40" i="36"/>
  <c r="N39" i="36"/>
  <c r="AA35" i="36"/>
  <c r="L56" i="36"/>
  <c r="Z51" i="36"/>
  <c r="Z52" i="36"/>
  <c r="L57" i="36"/>
  <c r="Q40" i="36"/>
  <c r="R40" i="36"/>
  <c r="S40" i="36"/>
  <c r="M41" i="36"/>
  <c r="N40" i="36"/>
  <c r="AA36" i="36"/>
  <c r="N41" i="36"/>
  <c r="AA37" i="36"/>
  <c r="Q41" i="36"/>
  <c r="R41" i="36"/>
  <c r="S41" i="36"/>
  <c r="Z53" i="36"/>
  <c r="L58" i="36"/>
  <c r="L59" i="36"/>
  <c r="Z54" i="36"/>
  <c r="M42" i="36"/>
  <c r="N42" i="36"/>
  <c r="AA38" i="36"/>
  <c r="Q42" i="36"/>
  <c r="R42" i="36"/>
  <c r="S42" i="36"/>
  <c r="L60" i="36"/>
  <c r="Z55" i="36"/>
  <c r="Z56" i="36"/>
  <c r="L61" i="36"/>
  <c r="M43" i="36"/>
  <c r="Q43" i="36"/>
  <c r="R43" i="36"/>
  <c r="S43" i="36"/>
  <c r="M44" i="36"/>
  <c r="N43" i="36"/>
  <c r="AA39" i="36"/>
  <c r="L62" i="36"/>
  <c r="Z57" i="36"/>
  <c r="Q44" i="36"/>
  <c r="R44" i="36"/>
  <c r="S44" i="36"/>
  <c r="N44" i="36"/>
  <c r="AA40" i="36"/>
  <c r="L63" i="36"/>
  <c r="Z58" i="36"/>
  <c r="M45" i="36"/>
  <c r="L64" i="36"/>
  <c r="Z60" i="36"/>
  <c r="Z59" i="36"/>
  <c r="N45" i="36"/>
  <c r="AA41" i="36"/>
  <c r="Q45" i="36"/>
  <c r="R45" i="36"/>
  <c r="S45" i="36"/>
  <c r="M46" i="36"/>
  <c r="N46" i="36"/>
  <c r="AA42" i="36"/>
  <c r="Q46" i="36"/>
  <c r="R46" i="36"/>
  <c r="S46" i="36"/>
  <c r="M47" i="36"/>
  <c r="Q47" i="36"/>
  <c r="R47" i="36"/>
  <c r="S47" i="36"/>
  <c r="M48" i="36"/>
  <c r="N47" i="36"/>
  <c r="AA43" i="36"/>
  <c r="Q48" i="36"/>
  <c r="R48" i="36"/>
  <c r="S48" i="36"/>
  <c r="N48" i="36"/>
  <c r="AA44" i="36"/>
  <c r="M49" i="36"/>
  <c r="N49" i="36"/>
  <c r="AA45" i="36"/>
  <c r="Q49" i="36"/>
  <c r="R49" i="36"/>
  <c r="S49" i="36"/>
  <c r="M50" i="36"/>
  <c r="N50" i="36"/>
  <c r="AA46" i="36"/>
  <c r="Q50" i="36"/>
  <c r="R50" i="36"/>
  <c r="S50" i="36"/>
  <c r="M51" i="36"/>
  <c r="Q51" i="36"/>
  <c r="R51" i="36"/>
  <c r="S51" i="36"/>
  <c r="N51" i="36"/>
  <c r="AA47" i="36"/>
  <c r="M52" i="36"/>
  <c r="Q52" i="36"/>
  <c r="R52" i="36"/>
  <c r="S52" i="36"/>
  <c r="N52" i="36"/>
  <c r="AA48" i="36"/>
  <c r="M53" i="36"/>
  <c r="N53" i="36"/>
  <c r="AA49" i="36"/>
  <c r="Q53" i="36"/>
  <c r="R53" i="36"/>
  <c r="S53" i="36"/>
  <c r="M54" i="36"/>
  <c r="N54" i="36"/>
  <c r="AA50" i="36"/>
  <c r="Q54" i="36"/>
  <c r="R54" i="36"/>
  <c r="S54" i="36"/>
  <c r="M55" i="36"/>
  <c r="Q55" i="36"/>
  <c r="R55" i="36"/>
  <c r="S55" i="36"/>
  <c r="M56" i="36"/>
  <c r="N55" i="36"/>
  <c r="AA51" i="36"/>
  <c r="Q56" i="36"/>
  <c r="R56" i="36"/>
  <c r="S56" i="36"/>
  <c r="N56" i="36"/>
  <c r="AA52" i="36"/>
  <c r="M57" i="36"/>
  <c r="N57" i="36"/>
  <c r="AA53" i="36"/>
  <c r="Q57" i="36"/>
  <c r="R57" i="36"/>
  <c r="S57" i="36"/>
  <c r="M58" i="36"/>
  <c r="N58" i="36"/>
  <c r="AA54" i="36"/>
  <c r="Q58" i="36"/>
  <c r="R58" i="36"/>
  <c r="S58" i="36"/>
  <c r="M59" i="36"/>
  <c r="Q59" i="36"/>
  <c r="R59" i="36"/>
  <c r="S59" i="36"/>
  <c r="M60" i="36"/>
  <c r="N59" i="36"/>
  <c r="AA55" i="36"/>
  <c r="Q60" i="36"/>
  <c r="R60" i="36"/>
  <c r="S60" i="36"/>
  <c r="N60" i="36"/>
  <c r="AA56" i="36"/>
  <c r="M61" i="36"/>
  <c r="N61" i="36"/>
  <c r="AA57" i="36"/>
  <c r="Q61" i="36"/>
  <c r="R61" i="36"/>
  <c r="S61" i="36"/>
  <c r="M62" i="36"/>
  <c r="Q62" i="36"/>
  <c r="R62" i="36"/>
  <c r="S62" i="36"/>
  <c r="N62" i="36"/>
  <c r="AA58" i="36"/>
  <c r="M63" i="36"/>
  <c r="Q63" i="36"/>
  <c r="R63" i="36"/>
  <c r="S63" i="36"/>
  <c r="N63" i="36"/>
  <c r="AA59" i="36"/>
  <c r="M64" i="36"/>
  <c r="N64" i="36"/>
  <c r="AA60" i="36"/>
  <c r="Q64" i="36"/>
  <c r="R64" i="36"/>
  <c r="S64" i="36"/>
  <c r="E16" i="20"/>
  <c r="F16" i="20"/>
  <c r="E10" i="34"/>
  <c r="E9" i="34"/>
  <c r="E19" i="20"/>
  <c r="F19" i="20"/>
  <c r="D19" i="20"/>
  <c r="E10" i="35"/>
  <c r="E11" i="35"/>
  <c r="E7" i="35"/>
  <c r="C8" i="35"/>
  <c r="C9" i="35"/>
  <c r="C10" i="35"/>
  <c r="C11" i="35"/>
  <c r="C7" i="35"/>
  <c r="E8" i="34"/>
  <c r="E6" i="34"/>
  <c r="C7" i="34"/>
  <c r="C8" i="34"/>
  <c r="C9" i="34"/>
  <c r="C10" i="34"/>
  <c r="C6" i="34"/>
  <c r="F4" i="33"/>
  <c r="F6" i="33"/>
  <c r="F16" i="33"/>
  <c r="F18" i="33"/>
  <c r="C8" i="31"/>
  <c r="D8" i="31"/>
  <c r="G8" i="31"/>
  <c r="H8" i="31"/>
  <c r="J8" i="31"/>
  <c r="K8" i="31"/>
  <c r="C9" i="31"/>
  <c r="D9" i="31"/>
  <c r="G9" i="31"/>
  <c r="H9" i="31"/>
  <c r="J9" i="31"/>
  <c r="K9" i="31"/>
  <c r="C10" i="31"/>
  <c r="D10" i="31"/>
  <c r="G10" i="31"/>
  <c r="H10" i="31"/>
  <c r="J10" i="31"/>
  <c r="K10" i="31"/>
  <c r="C11" i="31"/>
  <c r="D11" i="31"/>
  <c r="E11" i="31"/>
  <c r="F11" i="31"/>
  <c r="J11" i="31"/>
  <c r="K11" i="31"/>
  <c r="G12" i="31"/>
  <c r="G13" i="31"/>
  <c r="J13" i="31"/>
  <c r="G14" i="31"/>
  <c r="J14" i="31"/>
  <c r="G15" i="31"/>
  <c r="H15" i="31"/>
  <c r="C20" i="31"/>
  <c r="D20" i="31"/>
  <c r="G20" i="31"/>
  <c r="H20" i="31"/>
  <c r="J20" i="31"/>
  <c r="K20" i="31"/>
  <c r="C21" i="31"/>
  <c r="D21" i="31"/>
  <c r="G21" i="31"/>
  <c r="H21" i="31"/>
  <c r="J21" i="31"/>
  <c r="K21" i="31"/>
  <c r="C22" i="31"/>
  <c r="D22" i="31"/>
  <c r="G22" i="31"/>
  <c r="H22" i="31"/>
  <c r="J22" i="31"/>
  <c r="K22" i="31"/>
  <c r="C23" i="31"/>
  <c r="E23" i="31"/>
  <c r="F23" i="31"/>
  <c r="J23" i="31"/>
  <c r="K23" i="31"/>
  <c r="G24" i="31"/>
  <c r="G25" i="31"/>
  <c r="G26" i="31"/>
  <c r="G27" i="31"/>
  <c r="H27" i="31"/>
  <c r="F8" i="3"/>
  <c r="G8" i="3"/>
  <c r="H8" i="3"/>
  <c r="I8" i="3"/>
  <c r="J8" i="3"/>
  <c r="K8" i="3"/>
  <c r="M8" i="3"/>
  <c r="N8" i="3"/>
  <c r="A9" i="3"/>
  <c r="C9" i="3"/>
  <c r="F9" i="3"/>
  <c r="G9" i="3"/>
  <c r="H9" i="3"/>
  <c r="I9" i="3"/>
  <c r="J9" i="3"/>
  <c r="K9" i="3"/>
  <c r="M9" i="3"/>
  <c r="N9" i="3"/>
  <c r="A10" i="3"/>
  <c r="C10" i="3"/>
  <c r="F10" i="3"/>
  <c r="G10" i="3"/>
  <c r="H10" i="3"/>
  <c r="I10" i="3"/>
  <c r="J10" i="3"/>
  <c r="K10" i="3"/>
  <c r="M10" i="3"/>
  <c r="N10" i="3"/>
  <c r="A11" i="3"/>
  <c r="C11" i="3"/>
  <c r="F11" i="3"/>
  <c r="G11" i="3"/>
  <c r="H11" i="3"/>
  <c r="I11" i="3"/>
  <c r="J11" i="3"/>
  <c r="K11" i="3"/>
  <c r="M11" i="3"/>
  <c r="N11" i="3"/>
  <c r="A12" i="3"/>
  <c r="C12" i="3"/>
  <c r="F12" i="3"/>
  <c r="G12" i="3"/>
  <c r="H12" i="3"/>
  <c r="I12" i="3"/>
  <c r="J12" i="3"/>
  <c r="K12" i="3"/>
  <c r="M12" i="3"/>
  <c r="N12" i="3"/>
  <c r="A13" i="3"/>
  <c r="C13" i="3"/>
  <c r="F13" i="3"/>
  <c r="G13" i="3"/>
  <c r="H13" i="3"/>
  <c r="I13" i="3"/>
  <c r="J13" i="3"/>
  <c r="K13" i="3"/>
  <c r="M13" i="3"/>
  <c r="N13" i="3"/>
  <c r="A14" i="3"/>
  <c r="C14" i="3"/>
  <c r="F14" i="3"/>
  <c r="G14" i="3"/>
  <c r="H14" i="3"/>
  <c r="I14" i="3"/>
  <c r="J14" i="3"/>
  <c r="K14" i="3"/>
  <c r="M14" i="3"/>
  <c r="N14" i="3"/>
  <c r="A15" i="3"/>
  <c r="C15" i="3"/>
  <c r="F15" i="3"/>
  <c r="G15" i="3"/>
  <c r="H15" i="3"/>
  <c r="I15" i="3"/>
  <c r="J15" i="3"/>
  <c r="K15" i="3"/>
  <c r="M15" i="3"/>
  <c r="N15" i="3"/>
  <c r="A16" i="3"/>
  <c r="C16" i="3"/>
  <c r="F16" i="3"/>
  <c r="G16" i="3"/>
  <c r="H16" i="3"/>
  <c r="I16" i="3"/>
  <c r="J16" i="3"/>
  <c r="K16" i="3"/>
  <c r="M16" i="3"/>
  <c r="N16" i="3"/>
  <c r="A17" i="3"/>
  <c r="C17" i="3"/>
  <c r="F17" i="3"/>
  <c r="G17" i="3"/>
  <c r="H17" i="3"/>
  <c r="I17" i="3"/>
  <c r="J17" i="3"/>
  <c r="K17" i="3"/>
  <c r="M17" i="3"/>
  <c r="N17" i="3"/>
  <c r="A18" i="3"/>
  <c r="C18" i="3"/>
  <c r="F18" i="3"/>
  <c r="G18" i="3"/>
  <c r="H18" i="3"/>
  <c r="I18" i="3"/>
  <c r="J18" i="3"/>
  <c r="K18" i="3"/>
  <c r="M18" i="3"/>
  <c r="N18" i="3"/>
  <c r="A19" i="3"/>
  <c r="C19" i="3"/>
  <c r="F19" i="3"/>
  <c r="G19" i="3"/>
  <c r="H19" i="3"/>
  <c r="I19" i="3"/>
  <c r="J19" i="3"/>
  <c r="K19" i="3"/>
  <c r="M19" i="3"/>
  <c r="N19" i="3"/>
  <c r="A20" i="3"/>
  <c r="C20" i="3"/>
  <c r="F20" i="3"/>
  <c r="G20" i="3"/>
  <c r="H20" i="3"/>
  <c r="I20" i="3"/>
  <c r="J20" i="3"/>
  <c r="K20" i="3"/>
  <c r="M20" i="3"/>
  <c r="N20" i="3"/>
  <c r="A21" i="3"/>
  <c r="C21" i="3"/>
  <c r="F21" i="3"/>
  <c r="G21" i="3"/>
  <c r="H21" i="3"/>
  <c r="I21" i="3"/>
  <c r="J21" i="3"/>
  <c r="K21" i="3"/>
  <c r="M21" i="3"/>
  <c r="N21" i="3"/>
  <c r="A22" i="3"/>
  <c r="C22" i="3"/>
  <c r="F22" i="3"/>
  <c r="G22" i="3"/>
  <c r="H22" i="3"/>
  <c r="I22" i="3"/>
  <c r="J22" i="3"/>
  <c r="K22" i="3"/>
  <c r="M22" i="3"/>
  <c r="N22" i="3"/>
  <c r="A23" i="3"/>
  <c r="C23" i="3"/>
  <c r="F23" i="3"/>
  <c r="G23" i="3"/>
  <c r="H23" i="3"/>
  <c r="I23" i="3"/>
  <c r="J23" i="3"/>
  <c r="K23" i="3"/>
  <c r="M23" i="3"/>
  <c r="N23" i="3"/>
  <c r="A24" i="3"/>
  <c r="C24" i="3"/>
  <c r="F24" i="3"/>
  <c r="G24" i="3"/>
  <c r="H24" i="3"/>
  <c r="I24" i="3"/>
  <c r="J24" i="3"/>
  <c r="K24" i="3"/>
  <c r="M24" i="3"/>
  <c r="N24" i="3"/>
  <c r="A25" i="3"/>
  <c r="C25" i="3"/>
  <c r="F25" i="3"/>
  <c r="G25" i="3"/>
  <c r="H25" i="3"/>
  <c r="I25" i="3"/>
  <c r="J25" i="3"/>
  <c r="K25" i="3"/>
  <c r="M25" i="3"/>
  <c r="N25" i="3"/>
  <c r="A26" i="3"/>
  <c r="C26" i="3"/>
  <c r="F26" i="3"/>
  <c r="G26" i="3"/>
  <c r="H26" i="3"/>
  <c r="I26" i="3"/>
  <c r="J26" i="3"/>
  <c r="K26" i="3"/>
  <c r="M26" i="3"/>
  <c r="N26" i="3"/>
  <c r="A27" i="3"/>
  <c r="C27" i="3"/>
  <c r="F27" i="3"/>
  <c r="G27" i="3"/>
  <c r="H27" i="3"/>
  <c r="I27" i="3"/>
  <c r="J27" i="3"/>
  <c r="K27" i="3"/>
  <c r="M27" i="3"/>
  <c r="N27" i="3"/>
  <c r="A28" i="3"/>
  <c r="C28" i="3"/>
  <c r="F28" i="3"/>
  <c r="G28" i="3"/>
  <c r="H28" i="3"/>
  <c r="I28" i="3"/>
  <c r="J28" i="3"/>
  <c r="K28" i="3"/>
  <c r="M28" i="3"/>
  <c r="N28" i="3"/>
  <c r="A29" i="3"/>
  <c r="C29" i="3"/>
  <c r="F29" i="3"/>
  <c r="G29" i="3"/>
  <c r="H29" i="3"/>
  <c r="I29" i="3"/>
  <c r="J29" i="3"/>
  <c r="K29" i="3"/>
  <c r="M29" i="3"/>
  <c r="N29" i="3"/>
  <c r="A30" i="3"/>
  <c r="C30" i="3"/>
  <c r="F30" i="3"/>
  <c r="G30" i="3"/>
  <c r="H30" i="3"/>
  <c r="I30" i="3"/>
  <c r="J30" i="3"/>
  <c r="K30" i="3"/>
  <c r="M30" i="3"/>
  <c r="N30" i="3"/>
  <c r="A31" i="3"/>
  <c r="C31" i="3"/>
  <c r="F31" i="3"/>
  <c r="G31" i="3"/>
  <c r="H31" i="3"/>
  <c r="I31" i="3"/>
  <c r="J31" i="3"/>
  <c r="K31" i="3"/>
  <c r="M31" i="3"/>
  <c r="N31" i="3"/>
  <c r="A32" i="3"/>
  <c r="C32" i="3"/>
  <c r="F32" i="3"/>
  <c r="G32" i="3"/>
  <c r="H32" i="3"/>
  <c r="I32" i="3"/>
  <c r="J32" i="3"/>
  <c r="K32" i="3"/>
  <c r="M32" i="3"/>
  <c r="N32" i="3"/>
  <c r="A33" i="3"/>
  <c r="C33" i="3"/>
  <c r="F33" i="3"/>
  <c r="G33" i="3"/>
  <c r="H33" i="3"/>
  <c r="I33" i="3"/>
  <c r="J33" i="3"/>
  <c r="K33" i="3"/>
  <c r="M33" i="3"/>
  <c r="N33" i="3"/>
  <c r="A34" i="3"/>
  <c r="C34" i="3"/>
  <c r="F34" i="3"/>
  <c r="G34" i="3"/>
  <c r="H34" i="3"/>
  <c r="I34" i="3"/>
  <c r="J34" i="3"/>
  <c r="K34" i="3"/>
  <c r="M34" i="3"/>
  <c r="N34" i="3"/>
  <c r="A35" i="3"/>
  <c r="C35" i="3"/>
  <c r="F35" i="3"/>
  <c r="G35" i="3"/>
  <c r="H35" i="3"/>
  <c r="I35" i="3"/>
  <c r="J35" i="3"/>
  <c r="K35" i="3"/>
  <c r="M35" i="3"/>
  <c r="N35" i="3"/>
  <c r="A36" i="3"/>
  <c r="C36" i="3"/>
  <c r="F36" i="3"/>
  <c r="G36" i="3"/>
  <c r="H36" i="3"/>
  <c r="I36" i="3"/>
  <c r="J36" i="3"/>
  <c r="K36" i="3"/>
  <c r="M36" i="3"/>
  <c r="N36" i="3"/>
  <c r="A37" i="3"/>
  <c r="C37" i="3"/>
  <c r="F37" i="3"/>
  <c r="G37" i="3"/>
  <c r="H37" i="3"/>
  <c r="I37" i="3"/>
  <c r="J37" i="3"/>
  <c r="K37" i="3"/>
  <c r="M37" i="3"/>
  <c r="N37" i="3"/>
  <c r="A38" i="3"/>
  <c r="C38" i="3"/>
  <c r="F38" i="3"/>
  <c r="G38" i="3"/>
  <c r="H38" i="3"/>
  <c r="I38" i="3"/>
  <c r="J38" i="3"/>
  <c r="K38" i="3"/>
  <c r="M38" i="3"/>
  <c r="N38" i="3"/>
  <c r="A39" i="3"/>
  <c r="C39" i="3"/>
  <c r="F39" i="3"/>
  <c r="G39" i="3"/>
  <c r="H39" i="3"/>
  <c r="I39" i="3"/>
  <c r="J39" i="3"/>
  <c r="K39" i="3"/>
  <c r="M39" i="3"/>
  <c r="N39" i="3"/>
  <c r="A40" i="3"/>
  <c r="C40" i="3"/>
  <c r="F40" i="3"/>
  <c r="G40" i="3"/>
  <c r="H40" i="3"/>
  <c r="I40" i="3"/>
  <c r="J40" i="3"/>
  <c r="K40" i="3"/>
  <c r="M40" i="3"/>
  <c r="N40" i="3"/>
  <c r="A41" i="3"/>
  <c r="C41" i="3"/>
  <c r="F41" i="3"/>
  <c r="G41" i="3"/>
  <c r="H41" i="3"/>
  <c r="I41" i="3"/>
  <c r="J41" i="3"/>
  <c r="K41" i="3"/>
  <c r="M41" i="3"/>
  <c r="N41" i="3"/>
  <c r="A42" i="3"/>
  <c r="C42" i="3"/>
  <c r="F42" i="3"/>
  <c r="G42" i="3"/>
  <c r="H42" i="3"/>
  <c r="I42" i="3"/>
  <c r="J42" i="3"/>
  <c r="K42" i="3"/>
  <c r="M42" i="3"/>
  <c r="N42" i="3"/>
  <c r="A43" i="3"/>
  <c r="C43" i="3"/>
  <c r="F43" i="3"/>
  <c r="G43" i="3"/>
  <c r="H43" i="3"/>
  <c r="I43" i="3"/>
  <c r="J43" i="3"/>
  <c r="K43" i="3"/>
  <c r="M43" i="3"/>
  <c r="N43" i="3"/>
  <c r="A44" i="3"/>
  <c r="C44" i="3"/>
  <c r="F44" i="3"/>
  <c r="G44" i="3"/>
  <c r="H44" i="3"/>
  <c r="I44" i="3"/>
  <c r="J44" i="3"/>
  <c r="K44" i="3"/>
  <c r="M44" i="3"/>
  <c r="N44" i="3"/>
  <c r="A45" i="3"/>
  <c r="C45" i="3"/>
  <c r="F45" i="3"/>
  <c r="G45" i="3"/>
  <c r="H45" i="3"/>
  <c r="I45" i="3"/>
  <c r="J45" i="3"/>
  <c r="K45" i="3"/>
  <c r="M45" i="3"/>
  <c r="N45" i="3"/>
  <c r="A46" i="3"/>
  <c r="C46" i="3"/>
  <c r="F46" i="3"/>
  <c r="G46" i="3"/>
  <c r="H46" i="3"/>
  <c r="I46" i="3"/>
  <c r="J46" i="3"/>
  <c r="K46" i="3"/>
  <c r="M46" i="3"/>
  <c r="N46" i="3"/>
  <c r="A47" i="3"/>
  <c r="C47" i="3"/>
  <c r="F47" i="3"/>
  <c r="G47" i="3"/>
  <c r="H47" i="3"/>
  <c r="I47" i="3"/>
  <c r="J47" i="3"/>
  <c r="K47" i="3"/>
  <c r="M47" i="3"/>
  <c r="N47" i="3"/>
  <c r="A48" i="3"/>
  <c r="C48" i="3"/>
  <c r="F48" i="3"/>
  <c r="G48" i="3"/>
  <c r="H48" i="3"/>
  <c r="I48" i="3"/>
  <c r="J48" i="3"/>
  <c r="K48" i="3"/>
  <c r="M48" i="3"/>
  <c r="N48" i="3"/>
  <c r="A49" i="3"/>
  <c r="C49" i="3"/>
  <c r="F49" i="3"/>
  <c r="G49" i="3"/>
  <c r="H49" i="3"/>
  <c r="I49" i="3"/>
  <c r="J49" i="3"/>
  <c r="K49" i="3"/>
  <c r="M49" i="3"/>
  <c r="N49" i="3"/>
  <c r="A50" i="3"/>
  <c r="C50" i="3"/>
  <c r="F50" i="3"/>
  <c r="G50" i="3"/>
  <c r="H50" i="3"/>
  <c r="I50" i="3"/>
  <c r="J50" i="3"/>
  <c r="K50" i="3"/>
  <c r="M50" i="3"/>
  <c r="N50" i="3"/>
  <c r="A51" i="3"/>
  <c r="C51" i="3"/>
  <c r="F51" i="3"/>
  <c r="G51" i="3"/>
  <c r="H51" i="3"/>
  <c r="I51" i="3"/>
  <c r="J51" i="3"/>
  <c r="K51" i="3"/>
  <c r="M51" i="3"/>
  <c r="N51" i="3"/>
  <c r="A52" i="3"/>
  <c r="C52" i="3"/>
  <c r="F52" i="3"/>
  <c r="G52" i="3"/>
  <c r="H52" i="3"/>
  <c r="I52" i="3"/>
  <c r="J52" i="3"/>
  <c r="K52" i="3"/>
  <c r="M52" i="3"/>
  <c r="N52" i="3"/>
  <c r="A53" i="3"/>
  <c r="C53" i="3"/>
  <c r="F53" i="3"/>
  <c r="G53" i="3"/>
  <c r="H53" i="3"/>
  <c r="I53" i="3"/>
  <c r="J53" i="3"/>
  <c r="K53" i="3"/>
  <c r="M53" i="3"/>
  <c r="N53" i="3"/>
  <c r="A54" i="3"/>
  <c r="C54" i="3"/>
  <c r="F54" i="3"/>
  <c r="G54" i="3"/>
  <c r="H54" i="3"/>
  <c r="I54" i="3"/>
  <c r="J54" i="3"/>
  <c r="K54" i="3"/>
  <c r="M54" i="3"/>
  <c r="N54" i="3"/>
  <c r="A55" i="3"/>
  <c r="C55" i="3"/>
  <c r="F55" i="3"/>
  <c r="G55" i="3"/>
  <c r="H55" i="3"/>
  <c r="I55" i="3"/>
  <c r="J55" i="3"/>
  <c r="K55" i="3"/>
  <c r="M55" i="3"/>
  <c r="N55" i="3"/>
  <c r="B33" i="17"/>
  <c r="C33" i="17"/>
  <c r="D33" i="17"/>
  <c r="E33" i="17"/>
  <c r="E4" i="6"/>
  <c r="H4" i="6"/>
  <c r="E5" i="6"/>
  <c r="H5" i="6"/>
  <c r="E6" i="6"/>
  <c r="E7" i="6"/>
  <c r="H7" i="6"/>
  <c r="E8" i="6"/>
  <c r="H8" i="6"/>
  <c r="E9" i="6"/>
  <c r="H9" i="6"/>
  <c r="E10" i="6"/>
  <c r="H10" i="6"/>
  <c r="E11" i="6"/>
  <c r="H11" i="6"/>
  <c r="R34" i="8"/>
  <c r="S34" i="8"/>
  <c r="R35" i="8"/>
  <c r="S35" i="8"/>
  <c r="R36" i="8"/>
  <c r="S36" i="8"/>
  <c r="S38" i="8"/>
  <c r="B39" i="8"/>
  <c r="C39" i="8"/>
  <c r="B40" i="8"/>
  <c r="C40" i="8"/>
  <c r="B41" i="8"/>
  <c r="C41" i="8"/>
  <c r="B42" i="8"/>
  <c r="C42" i="8"/>
  <c r="B43" i="8"/>
  <c r="C43" i="8"/>
  <c r="C44" i="8"/>
  <c r="C45" i="8"/>
  <c r="B19" i="11"/>
  <c r="D19" i="11"/>
  <c r="B20" i="11"/>
  <c r="D20" i="11"/>
  <c r="D22" i="11"/>
  <c r="E27" i="11"/>
  <c r="E28" i="11"/>
  <c r="E29" i="11"/>
  <c r="E30" i="11"/>
  <c r="E31" i="11"/>
  <c r="E32" i="11"/>
  <c r="E33" i="11"/>
  <c r="E34" i="11"/>
  <c r="E35" i="11"/>
  <c r="E36" i="11"/>
  <c r="E37" i="11"/>
  <c r="E38" i="11"/>
  <c r="E39" i="11"/>
  <c r="E40" i="11"/>
  <c r="E41" i="11"/>
  <c r="E42" i="11"/>
  <c r="A35" i="7"/>
  <c r="B35" i="7"/>
  <c r="E65" i="7"/>
  <c r="F65" i="7"/>
  <c r="A71" i="7"/>
  <c r="B71" i="7"/>
  <c r="A72" i="7"/>
  <c r="B72" i="7"/>
  <c r="A73" i="7"/>
  <c r="B73" i="7"/>
  <c r="A75" i="7"/>
  <c r="B75" i="7"/>
  <c r="B3" i="21"/>
  <c r="F3" i="21"/>
  <c r="B4" i="21"/>
  <c r="F4" i="21"/>
  <c r="B5" i="21"/>
  <c r="F5" i="21"/>
  <c r="B6" i="21"/>
  <c r="F6" i="21"/>
  <c r="B7" i="21"/>
  <c r="B8" i="21"/>
  <c r="B11" i="21"/>
  <c r="B12" i="21"/>
  <c r="E4" i="14"/>
  <c r="H4" i="14"/>
  <c r="E5" i="14"/>
  <c r="H5" i="14"/>
  <c r="C6" i="14"/>
  <c r="D6" i="14"/>
  <c r="E6" i="14"/>
  <c r="C9" i="14"/>
  <c r="D9" i="14"/>
  <c r="E8" i="20"/>
  <c r="E9" i="20"/>
  <c r="E10" i="20"/>
  <c r="E11" i="20"/>
  <c r="E12" i="20"/>
  <c r="E13" i="20"/>
  <c r="E14" i="20"/>
  <c r="E15" i="20"/>
  <c r="D16" i="20"/>
  <c r="G8" i="19"/>
  <c r="H8" i="19"/>
  <c r="J8" i="19"/>
  <c r="K8" i="19"/>
  <c r="G9" i="19"/>
  <c r="H9" i="19"/>
  <c r="J9" i="19"/>
  <c r="K9" i="19"/>
  <c r="G10" i="19"/>
  <c r="H10" i="19"/>
  <c r="J10" i="19"/>
  <c r="K10" i="19"/>
  <c r="G11" i="19"/>
  <c r="H11" i="19"/>
  <c r="J11" i="19"/>
  <c r="K11" i="19"/>
  <c r="G12" i="19"/>
  <c r="H12" i="19"/>
  <c r="J12" i="19"/>
  <c r="K12" i="19"/>
  <c r="G13" i="19"/>
  <c r="H13" i="19"/>
  <c r="J13" i="19"/>
  <c r="K13" i="19"/>
  <c r="G14" i="19"/>
  <c r="H14" i="19"/>
  <c r="J14" i="19"/>
  <c r="K14" i="19"/>
  <c r="G15" i="19"/>
  <c r="H15" i="19"/>
  <c r="J15" i="19"/>
  <c r="K15" i="19"/>
  <c r="C16" i="19"/>
  <c r="E16" i="19"/>
  <c r="F16" i="19"/>
  <c r="J16" i="19"/>
  <c r="K16" i="19"/>
  <c r="G17" i="19"/>
  <c r="G18" i="19"/>
  <c r="G19" i="19"/>
  <c r="G20" i="19"/>
  <c r="H20" i="19"/>
  <c r="G30" i="19"/>
  <c r="H30" i="19"/>
  <c r="J30" i="19"/>
  <c r="K30" i="19"/>
  <c r="G31" i="19"/>
  <c r="H31" i="19"/>
  <c r="J31" i="19"/>
  <c r="K31" i="19"/>
  <c r="G32" i="19"/>
  <c r="H32" i="19"/>
  <c r="J32" i="19"/>
  <c r="K32" i="19"/>
  <c r="G33" i="19"/>
  <c r="H33" i="19"/>
  <c r="J33" i="19"/>
  <c r="K33" i="19"/>
  <c r="G34" i="19"/>
  <c r="H34" i="19"/>
  <c r="J34" i="19"/>
  <c r="K34" i="19"/>
  <c r="G35" i="19"/>
  <c r="H35" i="19"/>
  <c r="J35" i="19"/>
  <c r="K35" i="19"/>
  <c r="G36" i="19"/>
  <c r="H36" i="19"/>
  <c r="J36" i="19"/>
  <c r="K36" i="19"/>
  <c r="G37" i="19"/>
  <c r="H37" i="19"/>
  <c r="J37" i="19"/>
  <c r="K37" i="19"/>
  <c r="C38" i="19"/>
  <c r="E38" i="19"/>
  <c r="F38" i="19"/>
  <c r="J38" i="19"/>
  <c r="K38" i="19"/>
  <c r="G39" i="19"/>
  <c r="G40" i="19"/>
  <c r="G41" i="19"/>
  <c r="G42" i="19"/>
  <c r="H42" i="19"/>
  <c r="G47" i="19"/>
  <c r="H47" i="19"/>
  <c r="J47" i="19"/>
  <c r="K47" i="19"/>
  <c r="G48" i="19"/>
  <c r="H48" i="19"/>
  <c r="J48" i="19"/>
  <c r="K48" i="19"/>
  <c r="G49" i="19"/>
  <c r="H49" i="19"/>
  <c r="J49" i="19"/>
  <c r="K49" i="19"/>
  <c r="G50" i="19"/>
  <c r="H50" i="19"/>
  <c r="J50" i="19"/>
  <c r="K50" i="19"/>
  <c r="G51" i="19"/>
  <c r="H51" i="19"/>
  <c r="J51" i="19"/>
  <c r="K51" i="19"/>
  <c r="G52" i="19"/>
  <c r="H52" i="19"/>
  <c r="J52" i="19"/>
  <c r="K52" i="19"/>
  <c r="G53" i="19"/>
  <c r="H53" i="19"/>
  <c r="J53" i="19"/>
  <c r="K53" i="19"/>
  <c r="G54" i="19"/>
  <c r="H54" i="19"/>
  <c r="J54" i="19"/>
  <c r="K54" i="19"/>
  <c r="C55" i="19"/>
  <c r="E55" i="19"/>
  <c r="F55" i="19"/>
  <c r="J55" i="19"/>
  <c r="K55" i="19"/>
  <c r="G56" i="19"/>
  <c r="G57" i="19"/>
  <c r="G58" i="19"/>
  <c r="G59" i="19"/>
  <c r="H59" i="19"/>
  <c r="J4" i="10"/>
  <c r="A48" i="10"/>
  <c r="K48" i="10"/>
  <c r="A49" i="10"/>
  <c r="K49" i="10"/>
  <c r="A50" i="10"/>
  <c r="K50" i="10"/>
  <c r="D10" i="22"/>
  <c r="D11" i="22" s="1"/>
  <c r="D12" i="22" s="1"/>
  <c r="D13" i="22" s="1"/>
  <c r="D14" i="22" s="1"/>
  <c r="E7" i="22" s="1"/>
  <c r="C9" i="9"/>
  <c r="C16" i="9"/>
  <c r="D16" i="9"/>
  <c r="E16" i="9"/>
  <c r="F16" i="9"/>
  <c r="C17" i="9"/>
  <c r="D17" i="9"/>
  <c r="E17" i="9"/>
  <c r="F17" i="9"/>
  <c r="C18" i="9"/>
  <c r="D18" i="9"/>
  <c r="E18" i="9"/>
  <c r="F18" i="9"/>
  <c r="C19" i="9"/>
  <c r="D19" i="9"/>
  <c r="E19" i="9"/>
  <c r="F19" i="9"/>
  <c r="C24" i="9"/>
  <c r="C25" i="9"/>
  <c r="C27" i="9"/>
  <c r="C31" i="9"/>
  <c r="D31" i="9"/>
  <c r="E31" i="9"/>
  <c r="F31" i="9"/>
  <c r="C32" i="9"/>
  <c r="D32" i="9"/>
  <c r="E32" i="9"/>
  <c r="F32" i="9"/>
  <c r="C33" i="9"/>
  <c r="D33" i="9"/>
  <c r="E33" i="9"/>
  <c r="F33" i="9"/>
  <c r="C34" i="9"/>
  <c r="D34" i="9"/>
  <c r="E34" i="9"/>
  <c r="F34" i="9"/>
  <c r="C41" i="9"/>
  <c r="C42" i="9"/>
  <c r="C46" i="9"/>
  <c r="D5" i="25"/>
  <c r="C9" i="25" s="1"/>
  <c r="D6" i="25"/>
  <c r="C10" i="25" s="1"/>
  <c r="B7" i="25"/>
  <c r="C7" i="25"/>
  <c r="H24" i="25"/>
  <c r="H25" i="25"/>
  <c r="B26" i="25"/>
  <c r="D26" i="25"/>
  <c r="H26" i="25"/>
  <c r="C28" i="25"/>
  <c r="C29" i="25"/>
  <c r="C30" i="25"/>
  <c r="F30" i="25"/>
  <c r="G30" i="25"/>
  <c r="C31" i="25"/>
  <c r="F31" i="25"/>
  <c r="G31" i="25"/>
  <c r="C32" i="25"/>
  <c r="C33" i="25"/>
  <c r="C34" i="25"/>
  <c r="H59" i="25"/>
  <c r="I59" i="25"/>
  <c r="B60" i="25"/>
  <c r="I60" i="25"/>
  <c r="B61" i="25"/>
  <c r="I61" i="25"/>
  <c r="B62" i="25"/>
  <c r="I62" i="25"/>
  <c r="B63" i="25"/>
  <c r="I63" i="25"/>
  <c r="B64" i="25"/>
  <c r="I64" i="25"/>
  <c r="B65" i="25"/>
  <c r="I65" i="25"/>
  <c r="B66" i="25"/>
  <c r="I66" i="25"/>
  <c r="B67" i="25"/>
  <c r="I67" i="25"/>
  <c r="B68" i="25"/>
  <c r="I68" i="25"/>
  <c r="B69" i="25"/>
  <c r="I69" i="25"/>
  <c r="B70" i="25"/>
  <c r="I70" i="25"/>
  <c r="B71" i="25"/>
  <c r="I71" i="25"/>
  <c r="B72" i="25"/>
  <c r="I72" i="25"/>
  <c r="B73" i="25"/>
  <c r="I73" i="25"/>
  <c r="B74" i="25"/>
  <c r="I74" i="25"/>
  <c r="B75" i="25"/>
  <c r="I75" i="25"/>
  <c r="B76" i="25"/>
  <c r="I76" i="25"/>
  <c r="B77" i="25"/>
  <c r="I77" i="25"/>
  <c r="B78" i="25"/>
  <c r="I78" i="25"/>
  <c r="B79" i="25"/>
  <c r="I79" i="25"/>
  <c r="B80" i="25"/>
  <c r="I80" i="25"/>
  <c r="B81" i="25"/>
  <c r="I81" i="25"/>
  <c r="B82" i="25"/>
  <c r="I82" i="25"/>
  <c r="B83" i="25"/>
  <c r="I83" i="25"/>
  <c r="B84" i="25"/>
  <c r="I84" i="25"/>
  <c r="B85" i="25"/>
  <c r="I85" i="25"/>
  <c r="B86" i="25"/>
  <c r="I86" i="25"/>
  <c r="B87" i="25"/>
  <c r="I87" i="25"/>
  <c r="B88" i="25"/>
  <c r="I88" i="25"/>
  <c r="B89" i="25"/>
  <c r="I89" i="25"/>
  <c r="B90" i="25"/>
  <c r="I90" i="25"/>
  <c r="B91" i="25"/>
  <c r="I91" i="25"/>
  <c r="B92" i="25"/>
  <c r="I92" i="25"/>
  <c r="B93" i="25"/>
  <c r="I93" i="25"/>
  <c r="B94" i="25"/>
  <c r="I94" i="25"/>
  <c r="B95" i="25"/>
  <c r="I95" i="25"/>
  <c r="B96" i="25"/>
  <c r="I96" i="25"/>
  <c r="B97" i="25"/>
  <c r="I97" i="25"/>
  <c r="B98" i="25"/>
  <c r="I98" i="25"/>
  <c r="B99" i="25"/>
  <c r="I99" i="25"/>
  <c r="B100" i="25"/>
  <c r="I100" i="25"/>
  <c r="B101" i="25"/>
  <c r="I101" i="25"/>
  <c r="B102" i="25"/>
  <c r="I102" i="25"/>
  <c r="B103" i="25"/>
  <c r="I103" i="25"/>
  <c r="B104" i="25"/>
  <c r="I104" i="25"/>
  <c r="B105" i="25"/>
  <c r="I105" i="25"/>
  <c r="B106" i="25"/>
  <c r="I106" i="25"/>
  <c r="B107" i="25"/>
  <c r="I107" i="25"/>
  <c r="B108" i="25"/>
  <c r="I108" i="25"/>
  <c r="B109" i="25"/>
  <c r="I109" i="25"/>
  <c r="B110" i="25"/>
  <c r="I110" i="25"/>
  <c r="B111" i="25"/>
  <c r="I111" i="25"/>
  <c r="B112" i="25"/>
  <c r="I112" i="25"/>
  <c r="B113" i="25"/>
  <c r="I113" i="25"/>
  <c r="B114" i="25"/>
  <c r="I114" i="25"/>
  <c r="B115" i="25"/>
  <c r="I115" i="25"/>
  <c r="B116" i="25"/>
  <c r="I116" i="25"/>
  <c r="B117" i="25"/>
  <c r="I117" i="25"/>
  <c r="B118" i="25"/>
  <c r="I118" i="25"/>
  <c r="K4" i="24"/>
  <c r="M4" i="24"/>
  <c r="N4" i="24"/>
  <c r="K5" i="24"/>
  <c r="M5" i="24"/>
  <c r="N5" i="24"/>
  <c r="K6" i="24"/>
  <c r="M6" i="24"/>
  <c r="N6" i="24"/>
  <c r="K7" i="24"/>
  <c r="M7" i="24"/>
  <c r="N7" i="24"/>
  <c r="K8" i="24"/>
  <c r="M8" i="24"/>
  <c r="N8" i="24"/>
  <c r="K9" i="24"/>
  <c r="M9" i="24"/>
  <c r="N9" i="24"/>
  <c r="K10" i="24"/>
  <c r="M10" i="24"/>
  <c r="N10" i="24"/>
  <c r="K11" i="24"/>
  <c r="M11" i="24"/>
  <c r="N11" i="24"/>
  <c r="K12" i="24"/>
  <c r="M12" i="24"/>
  <c r="N12" i="24"/>
  <c r="K13" i="24"/>
  <c r="M13" i="24"/>
  <c r="N13" i="24"/>
  <c r="K14" i="24"/>
  <c r="M14" i="24"/>
  <c r="N14" i="24"/>
  <c r="K15" i="24"/>
  <c r="M15" i="24"/>
  <c r="N15" i="24"/>
  <c r="K16" i="24"/>
  <c r="M16" i="24"/>
  <c r="N16" i="24"/>
  <c r="K17" i="24"/>
  <c r="M17" i="24"/>
  <c r="N17" i="24"/>
  <c r="K18" i="24"/>
  <c r="M18" i="24"/>
  <c r="N18" i="24"/>
  <c r="K19" i="24"/>
  <c r="M19" i="24"/>
  <c r="N19" i="24"/>
  <c r="K20" i="24"/>
  <c r="M20" i="24"/>
  <c r="N20" i="24"/>
  <c r="K21" i="24"/>
  <c r="M21" i="24"/>
  <c r="N21" i="24"/>
  <c r="D44" i="24"/>
  <c r="E44" i="24"/>
  <c r="D45" i="24"/>
  <c r="E45" i="24"/>
  <c r="D46" i="24"/>
  <c r="E46" i="24"/>
  <c r="D47" i="24"/>
  <c r="E47" i="24"/>
  <c r="D48" i="24"/>
  <c r="E48" i="24"/>
  <c r="D49" i="24"/>
  <c r="E49" i="24"/>
  <c r="D50" i="24"/>
  <c r="E50" i="24"/>
  <c r="D51" i="24"/>
  <c r="E51" i="24"/>
  <c r="B52" i="24"/>
  <c r="D52" i="24"/>
  <c r="E52" i="24"/>
  <c r="B53" i="24"/>
  <c r="D53" i="24"/>
  <c r="E53" i="24"/>
  <c r="B54" i="24"/>
  <c r="D54" i="24"/>
  <c r="E54" i="24"/>
  <c r="D62" i="24"/>
  <c r="E62" i="24"/>
  <c r="K62" i="24"/>
  <c r="L62" i="24"/>
  <c r="D63" i="24"/>
  <c r="E63" i="24"/>
  <c r="K63" i="24"/>
  <c r="L63" i="24"/>
  <c r="D64" i="24"/>
  <c r="E64" i="24"/>
  <c r="K64" i="24"/>
  <c r="L64" i="24"/>
  <c r="D65" i="24"/>
  <c r="E65" i="24"/>
  <c r="K65" i="24"/>
  <c r="L65" i="24"/>
  <c r="D66" i="24"/>
  <c r="E66" i="24"/>
  <c r="K66" i="24"/>
  <c r="L66" i="24"/>
  <c r="D67" i="24"/>
  <c r="E67" i="24"/>
  <c r="K67" i="24"/>
  <c r="L67" i="24"/>
  <c r="D68" i="24"/>
  <c r="E68" i="24"/>
  <c r="K68" i="24"/>
  <c r="L68" i="24"/>
  <c r="D69" i="24"/>
  <c r="E69" i="24"/>
  <c r="K69" i="24"/>
  <c r="L69" i="24"/>
  <c r="D70" i="24"/>
  <c r="E70" i="24"/>
  <c r="K70" i="24"/>
  <c r="L70" i="24"/>
  <c r="D71" i="24"/>
  <c r="E71" i="24"/>
  <c r="K71" i="24"/>
  <c r="L71" i="24"/>
  <c r="D72" i="24"/>
  <c r="E72" i="24"/>
  <c r="K72" i="24"/>
  <c r="L72" i="24"/>
  <c r="D73" i="24"/>
  <c r="E73" i="24"/>
  <c r="K73" i="24"/>
  <c r="L73" i="24"/>
  <c r="D74" i="24"/>
  <c r="E74" i="24"/>
  <c r="K74" i="24"/>
  <c r="L74" i="24"/>
  <c r="D75" i="24"/>
  <c r="E75" i="24"/>
  <c r="K75" i="24"/>
  <c r="L75" i="24"/>
  <c r="D76" i="24"/>
  <c r="E76" i="24"/>
  <c r="K76" i="24"/>
  <c r="L76" i="24"/>
  <c r="D77" i="24"/>
  <c r="E77" i="24"/>
  <c r="K77" i="24"/>
  <c r="L77" i="24"/>
  <c r="D78" i="24"/>
  <c r="E78" i="24"/>
  <c r="K78" i="24"/>
  <c r="L78" i="24"/>
  <c r="D79" i="24"/>
  <c r="E79" i="24"/>
  <c r="K79" i="24"/>
  <c r="L79" i="24"/>
  <c r="E7" i="2"/>
  <c r="E8" i="2"/>
  <c r="E9" i="2" s="1"/>
  <c r="C9" i="2"/>
  <c r="D9" i="2"/>
  <c r="C14" i="2"/>
  <c r="E14" i="2" s="1"/>
  <c r="J76" i="2" s="1"/>
  <c r="D26" i="2"/>
  <c r="F26" i="2"/>
  <c r="F28" i="2"/>
  <c r="E26" i="2"/>
  <c r="D27" i="2"/>
  <c r="E27" i="2"/>
  <c r="F27" i="2"/>
  <c r="E28" i="2"/>
  <c r="E33" i="2"/>
  <c r="E35" i="2"/>
  <c r="I33" i="2"/>
  <c r="E34" i="2"/>
  <c r="I34" i="2"/>
  <c r="C35" i="2"/>
  <c r="D35" i="2"/>
  <c r="G35" i="2"/>
  <c r="H35" i="2"/>
  <c r="I35" i="2"/>
  <c r="D37" i="2"/>
  <c r="D42" i="2"/>
  <c r="H37" i="2"/>
  <c r="H38" i="2"/>
  <c r="H39" i="2"/>
  <c r="H41" i="2"/>
  <c r="H42" i="2"/>
  <c r="E43" i="2"/>
  <c r="H43" i="2"/>
  <c r="D44" i="2"/>
  <c r="H44" i="2"/>
  <c r="D45" i="2"/>
  <c r="H45" i="2"/>
  <c r="H46" i="2"/>
  <c r="H47" i="2"/>
  <c r="H48" i="2"/>
  <c r="H49" i="2"/>
  <c r="D50" i="2"/>
  <c r="H50" i="2"/>
  <c r="G54" i="2"/>
  <c r="H54" i="2"/>
  <c r="I54" i="2"/>
  <c r="Y54" i="2"/>
  <c r="G55" i="2"/>
  <c r="H55" i="2"/>
  <c r="I55" i="2"/>
  <c r="Y55" i="2"/>
  <c r="G56" i="2"/>
  <c r="H56" i="2"/>
  <c r="I56" i="2"/>
  <c r="Y56" i="2"/>
  <c r="G58" i="2"/>
  <c r="C59" i="2"/>
  <c r="L59" i="2"/>
  <c r="G59" i="2"/>
  <c r="G61" i="2"/>
  <c r="H87" i="2"/>
  <c r="I87" i="2"/>
  <c r="B88" i="2"/>
  <c r="I88" i="2"/>
  <c r="B89" i="2"/>
  <c r="I89" i="2"/>
  <c r="B90" i="2"/>
  <c r="I90" i="2"/>
  <c r="B91" i="2"/>
  <c r="I91" i="2"/>
  <c r="B92" i="2"/>
  <c r="I92" i="2"/>
  <c r="B93" i="2"/>
  <c r="I93" i="2"/>
  <c r="B94" i="2"/>
  <c r="I94" i="2"/>
  <c r="B95" i="2"/>
  <c r="I95" i="2"/>
  <c r="B96" i="2"/>
  <c r="I96" i="2"/>
  <c r="B97" i="2"/>
  <c r="I97" i="2"/>
  <c r="B98" i="2"/>
  <c r="I98" i="2"/>
  <c r="B99" i="2"/>
  <c r="I99" i="2"/>
  <c r="B100" i="2"/>
  <c r="I100" i="2"/>
  <c r="B101" i="2"/>
  <c r="I101" i="2"/>
  <c r="B102" i="2"/>
  <c r="I102" i="2"/>
  <c r="B103" i="2"/>
  <c r="I103" i="2"/>
  <c r="B104" i="2"/>
  <c r="I104" i="2"/>
  <c r="B105" i="2"/>
  <c r="I105" i="2"/>
  <c r="B106" i="2"/>
  <c r="I106" i="2"/>
  <c r="B107" i="2"/>
  <c r="I107" i="2"/>
  <c r="B108" i="2"/>
  <c r="I108" i="2"/>
  <c r="B109" i="2"/>
  <c r="I109" i="2"/>
  <c r="B110" i="2"/>
  <c r="I110" i="2"/>
  <c r="B111" i="2"/>
  <c r="I111" i="2"/>
  <c r="B112" i="2"/>
  <c r="I112" i="2"/>
  <c r="B113" i="2"/>
  <c r="I113" i="2"/>
  <c r="B114" i="2"/>
  <c r="I114" i="2"/>
  <c r="B115" i="2"/>
  <c r="I115" i="2"/>
  <c r="B116" i="2"/>
  <c r="I116" i="2"/>
  <c r="B117" i="2"/>
  <c r="I117" i="2"/>
  <c r="B118" i="2"/>
  <c r="I118" i="2"/>
  <c r="B119" i="2"/>
  <c r="I119" i="2"/>
  <c r="B120" i="2"/>
  <c r="I120" i="2"/>
  <c r="B121" i="2"/>
  <c r="I121" i="2"/>
  <c r="B122" i="2"/>
  <c r="I122" i="2"/>
  <c r="B123" i="2"/>
  <c r="I123" i="2"/>
  <c r="B124" i="2"/>
  <c r="I124" i="2"/>
  <c r="B125" i="2"/>
  <c r="I125" i="2"/>
  <c r="B126" i="2"/>
  <c r="I126" i="2"/>
  <c r="B127" i="2"/>
  <c r="I127" i="2"/>
  <c r="B128" i="2"/>
  <c r="I128" i="2"/>
  <c r="B129" i="2"/>
  <c r="I129" i="2"/>
  <c r="B130" i="2"/>
  <c r="I130" i="2"/>
  <c r="B131" i="2"/>
  <c r="I131" i="2"/>
  <c r="B132" i="2"/>
  <c r="I132" i="2"/>
  <c r="B133" i="2"/>
  <c r="I133" i="2"/>
  <c r="B134" i="2"/>
  <c r="I134" i="2"/>
  <c r="B135" i="2"/>
  <c r="I135" i="2"/>
  <c r="B136" i="2"/>
  <c r="I136" i="2"/>
  <c r="B137" i="2"/>
  <c r="I137" i="2"/>
  <c r="B138" i="2"/>
  <c r="I138" i="2"/>
  <c r="B139" i="2"/>
  <c r="I139" i="2"/>
  <c r="B140" i="2"/>
  <c r="I140" i="2"/>
  <c r="B141" i="2"/>
  <c r="I141" i="2"/>
  <c r="B142" i="2"/>
  <c r="I142" i="2"/>
  <c r="B143" i="2"/>
  <c r="I143" i="2"/>
  <c r="B144" i="2"/>
  <c r="I144" i="2"/>
  <c r="B145" i="2"/>
  <c r="I145" i="2"/>
  <c r="B146" i="2"/>
  <c r="I146" i="2"/>
  <c r="D4" i="1"/>
  <c r="G4" i="1"/>
  <c r="H4" i="1"/>
  <c r="I4" i="1"/>
  <c r="D5" i="1"/>
  <c r="G5" i="1"/>
  <c r="H5" i="1"/>
  <c r="I5" i="1"/>
  <c r="B6" i="1"/>
  <c r="C6" i="1"/>
  <c r="D6" i="1"/>
  <c r="G6" i="1"/>
  <c r="H6" i="1"/>
  <c r="I6" i="1"/>
  <c r="B8" i="1"/>
  <c r="G8" i="1"/>
  <c r="D13" i="1"/>
  <c r="G13" i="1"/>
  <c r="H13" i="1"/>
  <c r="I13" i="1"/>
  <c r="D14" i="1"/>
  <c r="G14" i="1"/>
  <c r="H14" i="1"/>
  <c r="I14" i="1"/>
  <c r="B15" i="1"/>
  <c r="C15" i="1"/>
  <c r="D15" i="1"/>
  <c r="G15" i="1"/>
  <c r="H15" i="1"/>
  <c r="I15" i="1"/>
  <c r="B16" i="1"/>
  <c r="B17" i="1"/>
  <c r="D17" i="1"/>
  <c r="D25" i="1"/>
  <c r="G25" i="1"/>
  <c r="H25" i="1"/>
  <c r="I25" i="1"/>
  <c r="D26" i="1"/>
  <c r="G26" i="1"/>
  <c r="H26" i="1"/>
  <c r="I26" i="1"/>
  <c r="D27" i="1"/>
  <c r="G27" i="1"/>
  <c r="H27" i="1"/>
  <c r="I27" i="1"/>
  <c r="D28" i="1"/>
  <c r="G28" i="1"/>
  <c r="H28" i="1"/>
  <c r="I28" i="1"/>
  <c r="B29" i="1"/>
  <c r="C29" i="1"/>
  <c r="D29" i="1"/>
  <c r="G29" i="1"/>
  <c r="H29" i="1"/>
  <c r="I29" i="1"/>
  <c r="B31" i="1"/>
  <c r="C9" i="13"/>
  <c r="E9" i="13"/>
  <c r="F9" i="13"/>
  <c r="I9" i="13"/>
  <c r="J9" i="13"/>
  <c r="M9" i="13"/>
  <c r="N9" i="13"/>
  <c r="C10" i="13"/>
  <c r="E10" i="13"/>
  <c r="F10" i="13"/>
  <c r="I10" i="13"/>
  <c r="J10" i="13"/>
  <c r="M10" i="13"/>
  <c r="N10" i="13"/>
  <c r="C11" i="13"/>
  <c r="E11" i="13"/>
  <c r="F11" i="13"/>
  <c r="I11" i="13"/>
  <c r="J11" i="13"/>
  <c r="M11" i="13"/>
  <c r="N11" i="13"/>
  <c r="C12" i="13"/>
  <c r="E12" i="13"/>
  <c r="F12" i="13"/>
  <c r="I12" i="13"/>
  <c r="J12" i="13"/>
  <c r="M12" i="13"/>
  <c r="N12" i="13"/>
  <c r="C26" i="13"/>
  <c r="E26" i="13"/>
  <c r="F26" i="13"/>
  <c r="I26" i="13"/>
  <c r="J26" i="13"/>
  <c r="M26" i="13"/>
  <c r="N26" i="13"/>
  <c r="C27" i="13"/>
  <c r="E27" i="13"/>
  <c r="F27" i="13"/>
  <c r="I27" i="13"/>
  <c r="J27" i="13"/>
  <c r="M27" i="13"/>
  <c r="N27" i="13"/>
  <c r="C28" i="13"/>
  <c r="E28" i="13"/>
  <c r="F28" i="13"/>
  <c r="I28" i="13"/>
  <c r="J28" i="13"/>
  <c r="M28" i="13"/>
  <c r="N28" i="13"/>
  <c r="C29" i="13"/>
  <c r="E29" i="13"/>
  <c r="F29" i="13"/>
  <c r="I29" i="13"/>
  <c r="J29" i="13"/>
  <c r="M29" i="13"/>
  <c r="N29" i="13"/>
  <c r="D9" i="16"/>
  <c r="D10" i="16"/>
  <c r="H10" i="16"/>
  <c r="D11" i="16"/>
  <c r="G11" i="16"/>
  <c r="H11" i="16"/>
  <c r="A12" i="16"/>
  <c r="D12" i="16"/>
  <c r="G12" i="16"/>
  <c r="H12" i="16"/>
  <c r="A13" i="16"/>
  <c r="D13" i="16"/>
  <c r="G13" i="16"/>
  <c r="H13" i="16"/>
  <c r="A14" i="16"/>
  <c r="D14" i="16"/>
  <c r="G14" i="16"/>
  <c r="H14" i="16"/>
  <c r="A15" i="16"/>
  <c r="D15" i="16"/>
  <c r="G15" i="16"/>
  <c r="H15" i="16"/>
  <c r="A16" i="16"/>
  <c r="D16" i="16"/>
  <c r="A17" i="16"/>
  <c r="D17" i="16"/>
  <c r="A18" i="16"/>
  <c r="D18" i="16"/>
  <c r="A19" i="16"/>
  <c r="D19" i="16"/>
  <c r="A20" i="16"/>
  <c r="D20" i="16"/>
  <c r="A21" i="16"/>
  <c r="D21" i="16"/>
  <c r="A22" i="16"/>
  <c r="D22" i="16"/>
  <c r="A23" i="16"/>
  <c r="D23" i="16"/>
  <c r="A24" i="16"/>
  <c r="D24" i="16"/>
  <c r="A25" i="16"/>
  <c r="D25" i="16"/>
  <c r="A26" i="16"/>
  <c r="D26" i="16"/>
  <c r="A27" i="16"/>
  <c r="D27" i="16"/>
  <c r="A28" i="16"/>
  <c r="D28" i="16"/>
  <c r="A29" i="16"/>
  <c r="D29" i="16"/>
  <c r="A30" i="16"/>
  <c r="D30" i="16"/>
  <c r="A31" i="16"/>
  <c r="D31" i="16"/>
  <c r="A32" i="16"/>
  <c r="D32" i="16"/>
  <c r="A33" i="16"/>
  <c r="D33" i="16"/>
  <c r="A34" i="16"/>
  <c r="D34" i="16"/>
  <c r="A35" i="16"/>
  <c r="D35" i="16"/>
  <c r="A36" i="16"/>
  <c r="D36" i="16"/>
  <c r="A37" i="16"/>
  <c r="D37" i="16"/>
  <c r="A38" i="16"/>
  <c r="D38" i="16"/>
  <c r="A39" i="16"/>
  <c r="D39" i="16"/>
  <c r="A40" i="16"/>
  <c r="D40" i="16"/>
  <c r="A41" i="16"/>
  <c r="D41" i="16"/>
  <c r="A42" i="16"/>
  <c r="D42" i="16"/>
  <c r="A43" i="16"/>
  <c r="D43" i="16"/>
  <c r="A44" i="16"/>
  <c r="D44" i="16"/>
  <c r="A45" i="16"/>
  <c r="D45" i="16"/>
  <c r="A46" i="16"/>
  <c r="D46" i="16"/>
  <c r="A47" i="16"/>
  <c r="D47" i="16"/>
  <c r="A48" i="16"/>
  <c r="D48" i="16"/>
  <c r="A49" i="16"/>
  <c r="D49" i="16"/>
  <c r="A50" i="16"/>
  <c r="D50" i="16"/>
  <c r="A51" i="16"/>
  <c r="D51" i="16"/>
  <c r="E7" i="34"/>
  <c r="F21" i="20"/>
  <c r="H19" i="20"/>
  <c r="G19" i="20"/>
  <c r="D43" i="2"/>
  <c r="D41" i="2"/>
  <c r="D49" i="2"/>
  <c r="C55" i="2"/>
  <c r="E55" i="2"/>
  <c r="D48" i="2"/>
  <c r="C54" i="2"/>
  <c r="D55" i="2"/>
  <c r="C61" i="2"/>
  <c r="L61" i="2"/>
  <c r="D47" i="2"/>
  <c r="D54" i="2"/>
  <c r="C58" i="2"/>
  <c r="L58" i="2"/>
  <c r="L60" i="2"/>
  <c r="D46" i="2"/>
  <c r="D28" i="2"/>
  <c r="I26" i="2"/>
  <c r="L62" i="2"/>
  <c r="L38" i="2"/>
  <c r="D56" i="2"/>
  <c r="E54" i="2"/>
  <c r="E56" i="2"/>
  <c r="D38" i="2"/>
  <c r="D39" i="2"/>
  <c r="C56" i="2"/>
  <c r="L48" i="2"/>
  <c r="L39" i="2"/>
  <c r="L47" i="2"/>
  <c r="L46" i="2"/>
  <c r="L37" i="2"/>
  <c r="H51" i="2"/>
  <c r="L43" i="2"/>
  <c r="D51" i="2"/>
  <c r="L49" i="2"/>
  <c r="L50" i="2"/>
  <c r="L41" i="2"/>
  <c r="L40" i="2"/>
  <c r="L51" i="2"/>
  <c r="L32" i="2"/>
  <c r="E8" i="35"/>
  <c r="E9" i="35"/>
  <c r="F14" i="2" l="1"/>
  <c r="J77" i="2" s="1"/>
  <c r="K80" i="2" s="1"/>
  <c r="H7" i="2"/>
  <c r="H8" i="2"/>
  <c r="I8" i="2" s="1"/>
  <c r="I7" i="2"/>
  <c r="C12" i="25"/>
  <c r="C11" i="25"/>
  <c r="D7" i="25"/>
  <c r="D5" i="39"/>
  <c r="C7" i="39"/>
  <c r="C20" i="39"/>
  <c r="I14" i="39"/>
  <c r="H20" i="39" s="1"/>
  <c r="G5" i="39"/>
  <c r="D6" i="39"/>
  <c r="G6" i="39" s="1"/>
  <c r="C16" i="39"/>
  <c r="C21" i="39"/>
  <c r="H16" i="39"/>
  <c r="H18" i="39" s="1"/>
  <c r="C17" i="39"/>
  <c r="L37" i="39"/>
  <c r="H39" i="39" s="1"/>
  <c r="D30" i="39"/>
  <c r="D31" i="39" s="1"/>
  <c r="J29" i="39"/>
  <c r="J31" i="39" s="1"/>
  <c r="M19" i="37"/>
  <c r="B6" i="38"/>
  <c r="R15" i="38"/>
  <c r="H13" i="38"/>
  <c r="I13" i="38" s="1"/>
  <c r="H16" i="38" s="1"/>
  <c r="C15" i="38"/>
  <c r="W15" i="38"/>
  <c r="C13" i="38"/>
  <c r="D13" i="38" s="1"/>
  <c r="X13" i="38"/>
  <c r="S13" i="38"/>
  <c r="M13" i="38"/>
  <c r="N13" i="38" s="1"/>
  <c r="M16" i="38" s="1"/>
  <c r="W13" i="38"/>
  <c r="C5" i="38"/>
  <c r="D5" i="38" s="1"/>
  <c r="D4" i="38"/>
  <c r="C5" i="37"/>
  <c r="D5" i="37" s="1"/>
  <c r="G5" i="37" s="1"/>
  <c r="R15" i="37"/>
  <c r="R17" i="37" s="1"/>
  <c r="C4" i="37"/>
  <c r="B6" i="37"/>
  <c r="I13" i="37"/>
  <c r="W15" i="37"/>
  <c r="X13" i="37"/>
  <c r="W16" i="37"/>
  <c r="S13" i="37"/>
  <c r="M15" i="37"/>
  <c r="N13" i="37"/>
  <c r="M16" i="37"/>
  <c r="H17" i="37"/>
  <c r="D11" i="37"/>
  <c r="K83" i="2" l="1"/>
  <c r="E16" i="2"/>
  <c r="J8" i="2"/>
  <c r="H9" i="2"/>
  <c r="C16" i="2"/>
  <c r="I9" i="2"/>
  <c r="J7" i="2"/>
  <c r="J9" i="2" s="1"/>
  <c r="C15" i="2"/>
  <c r="D143" i="2"/>
  <c r="H143" i="2" s="1"/>
  <c r="D127" i="2"/>
  <c r="H127" i="2" s="1"/>
  <c r="D111" i="2"/>
  <c r="H111" i="2" s="1"/>
  <c r="D94" i="2"/>
  <c r="H94" i="2" s="1"/>
  <c r="D133" i="2"/>
  <c r="H133" i="2" s="1"/>
  <c r="D117" i="2"/>
  <c r="H117" i="2" s="1"/>
  <c r="D101" i="2"/>
  <c r="H101" i="2" s="1"/>
  <c r="D139" i="2"/>
  <c r="H139" i="2" s="1"/>
  <c r="D123" i="2"/>
  <c r="H123" i="2" s="1"/>
  <c r="D107" i="2"/>
  <c r="H107" i="2" s="1"/>
  <c r="D88" i="2"/>
  <c r="H88" i="2" s="1"/>
  <c r="D137" i="2"/>
  <c r="H137" i="2" s="1"/>
  <c r="D121" i="2"/>
  <c r="H121" i="2" s="1"/>
  <c r="D105" i="2"/>
  <c r="H105" i="2" s="1"/>
  <c r="D144" i="2"/>
  <c r="H144" i="2" s="1"/>
  <c r="D136" i="2"/>
  <c r="H136" i="2" s="1"/>
  <c r="D128" i="2"/>
  <c r="H128" i="2" s="1"/>
  <c r="D120" i="2"/>
  <c r="H120" i="2" s="1"/>
  <c r="D112" i="2"/>
  <c r="H112" i="2" s="1"/>
  <c r="D104" i="2"/>
  <c r="H104" i="2" s="1"/>
  <c r="D95" i="2"/>
  <c r="H95" i="2" s="1"/>
  <c r="D146" i="2"/>
  <c r="H146" i="2" s="1"/>
  <c r="D138" i="2"/>
  <c r="H138" i="2" s="1"/>
  <c r="D130" i="2"/>
  <c r="H130" i="2" s="1"/>
  <c r="D122" i="2"/>
  <c r="H122" i="2" s="1"/>
  <c r="D114" i="2"/>
  <c r="H114" i="2" s="1"/>
  <c r="D106" i="2"/>
  <c r="H106" i="2" s="1"/>
  <c r="D98" i="2"/>
  <c r="H98" i="2" s="1"/>
  <c r="D97" i="2"/>
  <c r="H97" i="2" s="1"/>
  <c r="D103" i="2"/>
  <c r="H103" i="2" s="1"/>
  <c r="D125" i="2"/>
  <c r="H125" i="2" s="1"/>
  <c r="D91" i="2"/>
  <c r="H91" i="2" s="1"/>
  <c r="D115" i="2"/>
  <c r="H115" i="2" s="1"/>
  <c r="D145" i="2"/>
  <c r="H145" i="2" s="1"/>
  <c r="D113" i="2"/>
  <c r="H113" i="2" s="1"/>
  <c r="D140" i="2"/>
  <c r="H140" i="2" s="1"/>
  <c r="D124" i="2"/>
  <c r="H124" i="2" s="1"/>
  <c r="D108" i="2"/>
  <c r="H108" i="2" s="1"/>
  <c r="D90" i="2"/>
  <c r="H90" i="2" s="1"/>
  <c r="D134" i="2"/>
  <c r="H134" i="2" s="1"/>
  <c r="D118" i="2"/>
  <c r="H118" i="2" s="1"/>
  <c r="D102" i="2"/>
  <c r="H102" i="2" s="1"/>
  <c r="D93" i="2"/>
  <c r="H93" i="2" s="1"/>
  <c r="D89" i="2"/>
  <c r="H89" i="2" s="1"/>
  <c r="D135" i="2"/>
  <c r="H135" i="2" s="1"/>
  <c r="D119" i="2"/>
  <c r="H119" i="2" s="1"/>
  <c r="D141" i="2"/>
  <c r="H141" i="2" s="1"/>
  <c r="D109" i="2"/>
  <c r="H109" i="2" s="1"/>
  <c r="D131" i="2"/>
  <c r="H131" i="2" s="1"/>
  <c r="D99" i="2"/>
  <c r="H99" i="2" s="1"/>
  <c r="D129" i="2"/>
  <c r="H129" i="2" s="1"/>
  <c r="D96" i="2"/>
  <c r="H96" i="2" s="1"/>
  <c r="D132" i="2"/>
  <c r="H132" i="2" s="1"/>
  <c r="D116" i="2"/>
  <c r="H116" i="2" s="1"/>
  <c r="D100" i="2"/>
  <c r="H100" i="2" s="1"/>
  <c r="D142" i="2"/>
  <c r="H142" i="2" s="1"/>
  <c r="D126" i="2"/>
  <c r="H126" i="2" s="1"/>
  <c r="D110" i="2"/>
  <c r="H110" i="2" s="1"/>
  <c r="D92" i="2"/>
  <c r="H92" i="2" s="1"/>
  <c r="H6" i="25"/>
  <c r="H5" i="25"/>
  <c r="I14" i="25"/>
  <c r="C13" i="25"/>
  <c r="F11" i="25"/>
  <c r="J48" i="25" s="1"/>
  <c r="G11" i="25"/>
  <c r="J49" i="25" s="1"/>
  <c r="C18" i="25"/>
  <c r="G12" i="25"/>
  <c r="F12" i="25"/>
  <c r="C18" i="39"/>
  <c r="D7" i="39"/>
  <c r="L4" i="39"/>
  <c r="G8" i="39"/>
  <c r="H21" i="39"/>
  <c r="L5" i="39" s="1"/>
  <c r="C6" i="37"/>
  <c r="M17" i="37"/>
  <c r="M17" i="38"/>
  <c r="G7" i="38"/>
  <c r="C17" i="38"/>
  <c r="C16" i="38"/>
  <c r="L3" i="38" s="1"/>
  <c r="H17" i="38"/>
  <c r="C6" i="38"/>
  <c r="D6" i="38"/>
  <c r="D4" i="37"/>
  <c r="D6" i="37" s="1"/>
  <c r="W17" i="37"/>
  <c r="G4" i="37"/>
  <c r="G7" i="37" s="1"/>
  <c r="C15" i="37"/>
  <c r="C17" i="37" s="1"/>
  <c r="D13" i="37"/>
  <c r="C19" i="37" s="1"/>
  <c r="H7" i="25" l="1"/>
  <c r="I5" i="25"/>
  <c r="C15" i="25"/>
  <c r="K52" i="25"/>
  <c r="K55" i="25"/>
  <c r="I6" i="25"/>
  <c r="J6" i="25" s="1"/>
  <c r="F23" i="39"/>
  <c r="L4" i="38"/>
  <c r="L3" i="37"/>
  <c r="C20" i="37"/>
  <c r="E15" i="25" l="1"/>
  <c r="I7" i="25"/>
  <c r="D61" i="25"/>
  <c r="H61" i="25" s="1"/>
  <c r="D63" i="25"/>
  <c r="H63" i="25" s="1"/>
  <c r="D65" i="25"/>
  <c r="H65" i="25" s="1"/>
  <c r="D67" i="25"/>
  <c r="H67" i="25" s="1"/>
  <c r="D69" i="25"/>
  <c r="H69" i="25" s="1"/>
  <c r="D71" i="25"/>
  <c r="H71" i="25" s="1"/>
  <c r="D73" i="25"/>
  <c r="H73" i="25" s="1"/>
  <c r="D75" i="25"/>
  <c r="H75" i="25" s="1"/>
  <c r="D77" i="25"/>
  <c r="H77" i="25" s="1"/>
  <c r="D79" i="25"/>
  <c r="H79" i="25" s="1"/>
  <c r="D81" i="25"/>
  <c r="H81" i="25" s="1"/>
  <c r="D83" i="25"/>
  <c r="H83" i="25" s="1"/>
  <c r="D85" i="25"/>
  <c r="H85" i="25" s="1"/>
  <c r="D87" i="25"/>
  <c r="H87" i="25" s="1"/>
  <c r="D89" i="25"/>
  <c r="H89" i="25" s="1"/>
  <c r="D91" i="25"/>
  <c r="H91" i="25" s="1"/>
  <c r="D93" i="25"/>
  <c r="H93" i="25" s="1"/>
  <c r="D95" i="25"/>
  <c r="H95" i="25" s="1"/>
  <c r="D97" i="25"/>
  <c r="H97" i="25" s="1"/>
  <c r="D99" i="25"/>
  <c r="H99" i="25" s="1"/>
  <c r="D101" i="25"/>
  <c r="H101" i="25" s="1"/>
  <c r="D103" i="25"/>
  <c r="H103" i="25" s="1"/>
  <c r="D105" i="25"/>
  <c r="H105" i="25" s="1"/>
  <c r="D107" i="25"/>
  <c r="H107" i="25" s="1"/>
  <c r="D109" i="25"/>
  <c r="H109" i="25" s="1"/>
  <c r="D111" i="25"/>
  <c r="H111" i="25" s="1"/>
  <c r="D113" i="25"/>
  <c r="H113" i="25" s="1"/>
  <c r="D115" i="25"/>
  <c r="H115" i="25" s="1"/>
  <c r="D117" i="25"/>
  <c r="H117" i="25" s="1"/>
  <c r="D60" i="25"/>
  <c r="H60" i="25" s="1"/>
  <c r="D62" i="25"/>
  <c r="H62" i="25" s="1"/>
  <c r="D64" i="25"/>
  <c r="H64" i="25" s="1"/>
  <c r="D66" i="25"/>
  <c r="H66" i="25" s="1"/>
  <c r="D68" i="25"/>
  <c r="H68" i="25" s="1"/>
  <c r="D70" i="25"/>
  <c r="H70" i="25" s="1"/>
  <c r="D72" i="25"/>
  <c r="H72" i="25" s="1"/>
  <c r="D74" i="25"/>
  <c r="H74" i="25" s="1"/>
  <c r="D76" i="25"/>
  <c r="H76" i="25" s="1"/>
  <c r="D78" i="25"/>
  <c r="H78" i="25" s="1"/>
  <c r="D80" i="25"/>
  <c r="H80" i="25" s="1"/>
  <c r="D82" i="25"/>
  <c r="H82" i="25" s="1"/>
  <c r="D84" i="25"/>
  <c r="H84" i="25" s="1"/>
  <c r="D86" i="25"/>
  <c r="H86" i="25" s="1"/>
  <c r="D88" i="25"/>
  <c r="H88" i="25" s="1"/>
  <c r="D90" i="25"/>
  <c r="H90" i="25" s="1"/>
  <c r="D92" i="25"/>
  <c r="H92" i="25" s="1"/>
  <c r="D94" i="25"/>
  <c r="H94" i="25" s="1"/>
  <c r="D96" i="25"/>
  <c r="H96" i="25" s="1"/>
  <c r="D98" i="25"/>
  <c r="H98" i="25" s="1"/>
  <c r="D100" i="25"/>
  <c r="H100" i="25" s="1"/>
  <c r="D102" i="25"/>
  <c r="H102" i="25" s="1"/>
  <c r="D104" i="25"/>
  <c r="H104" i="25" s="1"/>
  <c r="D106" i="25"/>
  <c r="H106" i="25" s="1"/>
  <c r="D108" i="25"/>
  <c r="H108" i="25" s="1"/>
  <c r="D110" i="25"/>
  <c r="H110" i="25" s="1"/>
  <c r="D112" i="25"/>
  <c r="H112" i="25" s="1"/>
  <c r="D114" i="25"/>
  <c r="H114" i="25" s="1"/>
  <c r="D116" i="25"/>
  <c r="H116" i="25" s="1"/>
  <c r="D118" i="25"/>
  <c r="H118" i="25" s="1"/>
  <c r="C14" i="25"/>
  <c r="J5" i="25"/>
  <c r="J7" i="25" s="1"/>
  <c r="Q7" i="38"/>
  <c r="L4" i="37"/>
  <c r="Q7" i="37" s="1"/>
</calcChain>
</file>

<file path=xl/comments1.xml><?xml version="1.0" encoding="utf-8"?>
<comments xmlns="http://schemas.openxmlformats.org/spreadsheetml/2006/main">
  <authors>
    <author>Lamorte, Wayne W</author>
  </authors>
  <commentList>
    <comment ref="A5" authorId="0" shapeId="0">
      <text>
        <r>
          <rPr>
            <sz val="9"/>
            <color indexed="81"/>
            <rFont val="Tahoma"/>
            <family val="2"/>
          </rPr>
          <t>Use these first four rows to compute the confidence limits for a single proportion (i.e., a prevalence of a cumulative incidence in one group. These use Wilson's approximation of the exact limits for a binomial distribution. These are not symmetrically distributed above and below the point estimate. They are more accurate than the approximations that assume large sample size. These formulas can be used when the sample size is small or the proportion is close to 0 or 1.  (See the formula in Rothmans K: Epidemiology: An Introduction, Oxford University Press, 2002, page 132).</t>
        </r>
      </text>
    </comment>
    <comment ref="A17" authorId="0" shapeId="0">
      <text>
        <r>
          <rPr>
            <sz val="9"/>
            <color indexed="81"/>
            <rFont val="Tahoma"/>
            <family val="2"/>
          </rPr>
          <t>The lower section uses Byar's approximation of the exact limits as described by Rothman, K:  Epidemiology: An Introduction, Oxford University Press, 2002, page 134. As with Wilson's approximation above, these can be used for small or large samples, and the limits are not necessarily symmetrically distributed above and below the point estimate.</t>
        </r>
      </text>
    </comment>
  </commentList>
</comments>
</file>

<file path=xl/comments2.xml><?xml version="1.0" encoding="utf-8"?>
<comments xmlns="http://schemas.openxmlformats.org/spreadsheetml/2006/main">
  <authors>
    <author>Lamorte, Wayne W</author>
    <author>Wayne LaMorte</author>
  </authors>
  <commentList>
    <comment ref="B6" authorId="0" shapeId="0">
      <text>
        <r>
          <rPr>
            <b/>
            <sz val="9"/>
            <color indexed="81"/>
            <rFont val="Tahoma"/>
            <family val="2"/>
          </rPr>
          <t>Lamorte, Wayne W:</t>
        </r>
        <r>
          <rPr>
            <sz val="9"/>
            <color indexed="81"/>
            <rFont val="Tahoma"/>
            <family val="2"/>
          </rPr>
          <t xml:space="preserve">
Enter data into the turquoise cells.</t>
        </r>
      </text>
    </comment>
    <comment ref="E12" authorId="0" shapeId="0">
      <text>
        <r>
          <rPr>
            <sz val="9"/>
            <color indexed="81"/>
            <rFont val="Tahoma"/>
            <family val="2"/>
          </rPr>
          <t xml:space="preserve">Computed as described by Rothman in Epidemiology: An Introduction, Oxford University Press, 2002. See page 139.
</t>
        </r>
      </text>
    </comment>
    <comment ref="B32" authorId="0" shapeId="0">
      <text>
        <r>
          <rPr>
            <b/>
            <sz val="9"/>
            <color indexed="81"/>
            <rFont val="Tahoma"/>
            <family val="2"/>
          </rPr>
          <t>Lamorte, Wayne W:</t>
        </r>
        <r>
          <rPr>
            <sz val="9"/>
            <color indexed="81"/>
            <rFont val="Tahoma"/>
            <family val="2"/>
          </rPr>
          <t xml:space="preserve">
Enter data into the turquoise cells.</t>
        </r>
      </text>
    </comment>
    <comment ref="L32" authorId="0" shapeId="0">
      <text>
        <r>
          <rPr>
            <b/>
            <sz val="9"/>
            <color indexed="81"/>
            <rFont val="Tahoma"/>
            <family val="2"/>
          </rPr>
          <t>Lamorte, Wayne W:</t>
        </r>
        <r>
          <rPr>
            <sz val="9"/>
            <color indexed="81"/>
            <rFont val="Tahoma"/>
            <family val="2"/>
          </rPr>
          <t xml:space="preserve">
This is the p-value for the  used to compute a p-value for the Chi Square Test for homogeneity across strata in order to determine if there is effect measure modification.</t>
        </r>
      </text>
    </comment>
    <comment ref="B45" authorId="1" shapeId="0">
      <text>
        <r>
          <rPr>
            <sz val="8"/>
            <color indexed="81"/>
            <rFont val="Tahoma"/>
            <family val="2"/>
          </rPr>
          <t>The weights in this row are used for the Chi Square test of HOMGENEITY. See Aschengrau and Seage, p.347-348. (2nd edition)</t>
        </r>
      </text>
    </comment>
    <comment ref="E46" authorId="0" shapeId="0">
      <text>
        <r>
          <rPr>
            <b/>
            <sz val="9"/>
            <color indexed="81"/>
            <rFont val="Tahoma"/>
            <family val="2"/>
          </rPr>
          <t>Lamorte, Wayne W:</t>
        </r>
        <r>
          <rPr>
            <sz val="9"/>
            <color indexed="81"/>
            <rFont val="Tahoma"/>
            <family val="2"/>
          </rPr>
          <t xml:space="preserve">
See Rothman, p 157</t>
        </r>
      </text>
    </comment>
  </commentList>
</comments>
</file>

<file path=xl/comments3.xml><?xml version="1.0" encoding="utf-8"?>
<comments xmlns="http://schemas.openxmlformats.org/spreadsheetml/2006/main">
  <authors>
    <author>Wayne LaMorte</author>
  </authors>
  <commentList>
    <comment ref="D43" authorId="0" shapeId="0">
      <text>
        <r>
          <rPr>
            <b/>
            <sz val="8"/>
            <color indexed="81"/>
            <rFont val="Tahoma"/>
            <family val="2"/>
          </rPr>
          <t>This means CI=1 minus the constant 'e' (2.71828) raised to the power (- IRxT). 
In Excel this can be programmed as 
"1-exp(-IR*T)" or as "1-POWER(2.71828, -IR*T).</t>
        </r>
      </text>
    </comment>
    <comment ref="E43" authorId="0" shapeId="0">
      <text>
        <r>
          <rPr>
            <sz val="8"/>
            <color indexed="81"/>
            <rFont val="Tahoma"/>
            <family val="2"/>
          </rPr>
          <t>This column gives the approximation of CI from the formula CI=IRxT. This approximation is only valid when CI is low, i.e. &lt;0.01 per person-year.</t>
        </r>
      </text>
    </comment>
    <comment ref="E51" authorId="0" shapeId="0">
      <text>
        <r>
          <rPr>
            <sz val="8"/>
            <color indexed="81"/>
            <rFont val="Tahoma"/>
            <family val="2"/>
          </rPr>
          <t>Note that cumulative incidence cannot be greater than 1 (i.e., 100%). In this example, column A lists increasing incidence rates, and column B sets the observation time at T=8 years. CI=IRxT gives good approximations of CI only when the IR is low (i.e. &lt;0.10).</t>
        </r>
      </text>
    </comment>
    <comment ref="B62" authorId="0" shapeId="0">
      <text>
        <r>
          <rPr>
            <sz val="8"/>
            <color indexed="81"/>
            <rFont val="Tahoma"/>
            <family val="2"/>
          </rPr>
          <t>Here, IR is</t>
        </r>
        <r>
          <rPr>
            <b/>
            <sz val="8"/>
            <color indexed="81"/>
            <rFont val="Tahoma"/>
            <family val="2"/>
          </rPr>
          <t xml:space="preserve"> low</t>
        </r>
        <r>
          <rPr>
            <sz val="8"/>
            <color indexed="81"/>
            <rFont val="Tahoma"/>
            <family val="2"/>
          </rPr>
          <t xml:space="preserve"> (0.01 p-yrs) and we observe the effect of increasing Time on the estimates of CI.</t>
        </r>
      </text>
    </comment>
    <comment ref="I62" authorId="0" shapeId="0">
      <text>
        <r>
          <rPr>
            <sz val="8"/>
            <color indexed="81"/>
            <rFont val="Tahoma"/>
            <family val="2"/>
          </rPr>
          <t xml:space="preserve">Here, IR is </t>
        </r>
        <r>
          <rPr>
            <b/>
            <u/>
            <sz val="8"/>
            <color indexed="81"/>
            <rFont val="Tahoma"/>
            <family val="2"/>
          </rPr>
          <t>very low</t>
        </r>
        <r>
          <rPr>
            <sz val="8"/>
            <color indexed="81"/>
            <rFont val="Tahoma"/>
            <family val="2"/>
          </rPr>
          <t xml:space="preserve"> (0.001 p-yrs) and we observe the effect of increasing Time on the estimates of CI. </t>
        </r>
      </text>
    </comment>
  </commentList>
</comments>
</file>

<file path=xl/comments4.xml><?xml version="1.0" encoding="utf-8"?>
<comments xmlns="http://schemas.openxmlformats.org/spreadsheetml/2006/main">
  <authors>
    <author>Lamorte, Wayne W</author>
    <author>Wayne LaMorte</author>
  </authors>
  <commentList>
    <comment ref="W1" authorId="0" shapeId="0">
      <text>
        <r>
          <rPr>
            <b/>
            <sz val="9"/>
            <color indexed="81"/>
            <rFont val="Tahoma"/>
            <family val="2"/>
          </rPr>
          <t>Lamorte, Wayne W:</t>
        </r>
        <r>
          <rPr>
            <sz val="9"/>
            <color indexed="81"/>
            <rFont val="Tahoma"/>
            <family val="2"/>
          </rPr>
          <t xml:space="preserve">
Drop down list for F8</t>
        </r>
      </text>
    </comment>
    <comment ref="F9" authorId="0" shapeId="0">
      <text>
        <r>
          <rPr>
            <sz val="9"/>
            <color indexed="81"/>
            <rFont val="Tahoma"/>
            <family val="2"/>
          </rPr>
          <t xml:space="preserve">Computed as described by Rothman in Epidemiology: An Introduction, Oxford University Press, 2002. See pages 134-138.
</t>
        </r>
      </text>
    </comment>
    <comment ref="M21" authorId="1" shapeId="0">
      <text>
        <r>
          <rPr>
            <b/>
            <sz val="10"/>
            <color indexed="81"/>
            <rFont val="Tahoma"/>
            <family val="2"/>
          </rPr>
          <t xml:space="preserve">From Rothman: Epidemiology: An Introduction, p. 121:
</t>
        </r>
        <r>
          <rPr>
            <sz val="10"/>
            <color indexed="81"/>
            <rFont val="Tahoma"/>
            <family val="2"/>
          </rPr>
          <t xml:space="preserve">"… significance testing is only a qualitative proposition. The end result is a declaration of 'significant' or 'not significant' that provides no quantitative clue about the size of the effect. [The p value function]...presents a  quantitative visual message about the estimated size of the effect. The message comes in two parts, relating to the strngth of the effect and the precision. Strength is conveyed by the location of the curve along the horizontal axis and precision by the spread of the function around the point estimate. Because the p value is only one number, it cannot convey two separate quantitative messages."
</t>
        </r>
      </text>
    </comment>
    <comment ref="F28" authorId="0" shapeId="0">
      <text>
        <r>
          <rPr>
            <sz val="9"/>
            <color indexed="81"/>
            <rFont val="Tahoma"/>
            <family val="2"/>
          </rPr>
          <t>Computed as described by Rothman in Epidemiology: An Introduction, Oxford University Press, 2002. See pages 137-138.</t>
        </r>
      </text>
    </comment>
  </commentList>
</comments>
</file>

<file path=xl/comments5.xml><?xml version="1.0" encoding="utf-8"?>
<comments xmlns="http://schemas.openxmlformats.org/spreadsheetml/2006/main">
  <authors>
    <author>Lamorte, Wayne W</author>
  </authors>
  <commentList>
    <comment ref="M14" authorId="0" shapeId="0">
      <text>
        <r>
          <rPr>
            <b/>
            <sz val="9"/>
            <color indexed="81"/>
            <rFont val="Tahoma"/>
            <family val="2"/>
          </rPr>
          <t>Lamorte, Wayne W:</t>
        </r>
        <r>
          <rPr>
            <sz val="9"/>
            <color indexed="81"/>
            <rFont val="Tahoma"/>
            <family val="2"/>
          </rPr>
          <t xml:space="preserve">
Note that each week we use the previious week's weight to compute calorie expenditure, so this takes into account burning fewer calories during activity as one's weight decreases.
In addition, it adjusts for changes in BMR by adding back in the cumulative decliine*7 each week.</t>
        </r>
      </text>
    </comment>
  </commentList>
</comments>
</file>

<file path=xl/comments6.xml><?xml version="1.0" encoding="utf-8"?>
<comments xmlns="http://schemas.openxmlformats.org/spreadsheetml/2006/main">
  <authors>
    <author>Lamorte, Wayne W</author>
  </authors>
  <commentList>
    <comment ref="J18" authorId="0" shapeId="0">
      <text>
        <r>
          <rPr>
            <b/>
            <sz val="9"/>
            <color indexed="81"/>
            <rFont val="Tahoma"/>
            <family val="2"/>
          </rPr>
          <t>Lamorte, Wayne W:</t>
        </r>
        <r>
          <rPr>
            <sz val="9"/>
            <color indexed="81"/>
            <rFont val="Tahoma"/>
            <family val="2"/>
          </rPr>
          <t xml:space="preserve">
The crude RR=0.57, but the stratifed RRs are 0.86 and 0.81.
Why are the stratified RRs so different from the crude RR?</t>
        </r>
      </text>
    </comment>
    <comment ref="M26" authorId="0" shapeId="0">
      <text>
        <r>
          <rPr>
            <b/>
            <sz val="9"/>
            <color indexed="81"/>
            <rFont val="Tahoma"/>
            <family val="2"/>
          </rPr>
          <t>Lamorte, Wayne W:</t>
        </r>
        <r>
          <rPr>
            <sz val="9"/>
            <color indexed="81"/>
            <rFont val="Tahoma"/>
            <family val="2"/>
          </rPr>
          <t xml:space="preserve">
It is easier to see the confounding if we think about the same information as a comparison of active vs. iinactive "populations" and than compute age-standarized rates. 
Viewed this way, we see that only 26.3% of the "active" population is old, but 66% of the inactive population is old. And old subjects have more than 2x the risk of CHD compared to the young subjects, so the comparison isn't fair.
But if we compute age-standardized rates using the age distribution in the active group, we can see what the overall rate would have been in the inactive group if they had had the same age distribution as the active groups. Note that the standarized RR is almost exactly the same as the Mantel-Haenszel pooled estimate when we stratifed above.</t>
        </r>
      </text>
    </comment>
  </commentList>
</comments>
</file>

<file path=xl/sharedStrings.xml><?xml version="1.0" encoding="utf-8"?>
<sst xmlns="http://schemas.openxmlformats.org/spreadsheetml/2006/main" count="1132" uniqueCount="668">
  <si>
    <t>p-value=</t>
  </si>
  <si>
    <t>Exposed</t>
  </si>
  <si>
    <t>-Outcome</t>
  </si>
  <si>
    <t>+ Outcome</t>
  </si>
  <si>
    <t>Expected Under H0</t>
  </si>
  <si>
    <t>Observed Data</t>
  </si>
  <si>
    <t>Non-exposed</t>
  </si>
  <si>
    <t>8/210=</t>
  </si>
  <si>
    <t>Period</t>
  </si>
  <si>
    <t>Initial No. at                    Risk</t>
  </si>
  <si>
    <t xml:space="preserve">Events </t>
  </si>
  <si>
    <t>Lost to       Follow-up</t>
  </si>
  <si>
    <t>Effective          No. at Risk</t>
  </si>
  <si>
    <t>Risk</t>
  </si>
  <si>
    <t>Survival            Prob.</t>
  </si>
  <si>
    <t>Cumulative Surv. Prob.</t>
  </si>
  <si>
    <t>95% Lower Bound</t>
  </si>
  <si>
    <t>95% Upper Bound</t>
  </si>
  <si>
    <t>sum q/pL</t>
  </si>
  <si>
    <t>Effective Size</t>
  </si>
  <si>
    <t>Enter data into the blue cells to calculate a p-value with the chi squared test.</t>
  </si>
  <si>
    <t>Example</t>
  </si>
  <si>
    <t>Survival Curves</t>
  </si>
  <si>
    <t>(Adapted from Kenneth Rothman's "Episheet".)</t>
  </si>
  <si>
    <t>In the blue cells enter the initial # of subjects at risk (C8), and then the # of events and losses to follow up for each period.</t>
  </si>
  <si>
    <t>Cases</t>
  </si>
  <si>
    <t>Controls</t>
  </si>
  <si>
    <t>Odds Ratio=</t>
  </si>
  <si>
    <t>Chi Sq=</t>
  </si>
  <si>
    <t>The Chi Squared Test is based on the difference between the frequency distribution that was observed and the frequency distribution that would have been expected under the null hypothesis. In the example above, only 8 of 210 subjects had the outcome of interest (3.8095%). Under the null hypothesis, we would expect 3.8095% of the exposed group to have the outcome, and we would expect 3.8095% of the non-exposed group to have the outcome as well. The 2x2 table to the right calculates the frequencies expected under the null hypothesis</t>
  </si>
  <si>
    <t>The Chi Squared statistic is calculated from the difference between observed and expected values for each cell. The difference is squared and then divided by the expected value for the cell. This calculation is repeated for each cell and the results are summed. Note that the chi squared test is a "large sample test"; it should not be used if the number of expected observations in any of the cells is &lt;5, because it gives falsely low p-values. In this case, Fisher's Exact Test should be used.</t>
  </si>
  <si>
    <t>For example, the number of runners who finished a marathon in less than 4 hours among those who trained not at all, a little, moderately, or a lot.</t>
  </si>
  <si>
    <t>Finished</t>
  </si>
  <si>
    <t>Didn't finish</t>
  </si>
  <si>
    <t>Not at all</t>
  </si>
  <si>
    <t>A little</t>
  </si>
  <si>
    <t>Moderately</t>
  </si>
  <si>
    <t>A lot</t>
  </si>
  <si>
    <t>The chi squared test can also be applied to situations with multiple groups and outcomes.</t>
  </si>
  <si>
    <t xml:space="preserve">The Excel function </t>
  </si>
  <si>
    <t>CHITEST</t>
  </si>
  <si>
    <t>frequencies and the range of expected observations. For example,</t>
  </si>
  <si>
    <t>will calculate the p-value automatically, if you specify the range of actual (observed)</t>
  </si>
  <si>
    <t>Case-Control Studies</t>
  </si>
  <si>
    <t>Incidence</t>
  </si>
  <si>
    <t>exposed=</t>
  </si>
  <si>
    <t>nonexposed=</t>
  </si>
  <si>
    <t>Cohort Studies- Cumulative Incidence</t>
  </si>
  <si>
    <t>Cohort Studies- Incidence Rate</t>
  </si>
  <si>
    <t>Diseased</t>
  </si>
  <si>
    <t>No Disease</t>
  </si>
  <si>
    <t>-</t>
  </si>
  <si>
    <t>Person-Time observation</t>
  </si>
  <si>
    <t>m=</t>
  </si>
  <si>
    <t>b=</t>
  </si>
  <si>
    <t>LOS</t>
  </si>
  <si>
    <t>Before</t>
  </si>
  <si>
    <t>After</t>
  </si>
  <si>
    <t>BMI</t>
  </si>
  <si>
    <t>Your data should now look like this:</t>
  </si>
  <si>
    <t># of people</t>
  </si>
  <si>
    <t>before</t>
  </si>
  <si>
    <t>after</t>
  </si>
  <si>
    <t>total</t>
  </si>
  <si>
    <t>Variance</t>
  </si>
  <si>
    <t>r=</t>
  </si>
  <si>
    <t>r2=</t>
  </si>
  <si>
    <t>Savings</t>
  </si>
  <si>
    <t>Weeks</t>
  </si>
  <si>
    <t>Table for (Z1-alpha/2+Z1-beta)squared</t>
  </si>
  <si>
    <t>beta</t>
  </si>
  <si>
    <t>Mean</t>
  </si>
  <si>
    <t>Stan. Dev</t>
  </si>
  <si>
    <t>alpha</t>
  </si>
  <si>
    <t>Group 1</t>
  </si>
  <si>
    <t>%</t>
  </si>
  <si>
    <t>Group 2</t>
  </si>
  <si>
    <t>Sample Size Needed in Each Group</t>
  </si>
  <si>
    <t>alpha level</t>
  </si>
  <si>
    <t>Power</t>
  </si>
  <si>
    <t>("p" value)</t>
  </si>
  <si>
    <t>The red cells indicate the two</t>
  </si>
  <si>
    <t>most commonly used estimates,</t>
  </si>
  <si>
    <t>i.e. based on 90% or 80% power</t>
  </si>
  <si>
    <t>=================================================================</t>
  </si>
  <si>
    <t>Proportion with</t>
  </si>
  <si>
    <t>(without)</t>
  </si>
  <si>
    <t>"Y"</t>
  </si>
  <si>
    <t>"X"</t>
  </si>
  <si>
    <t>Standard Deviation</t>
  </si>
  <si>
    <t>Counts for Bar Chart</t>
  </si>
  <si>
    <t>frequency</t>
  </si>
  <si>
    <t>Data set 1:</t>
  </si>
  <si>
    <t>Data set 2:</t>
  </si>
  <si>
    <t>Many biological characteristics that are measurements follow a Normal distribution fairly closely, meaning their frequency distributions are bell-shaped and symmetrical around a mean or average value. The shape of the bell will vary between tall and skinny for samples with relatively little variability to short and wide for samples that have a lot of variability. Characteristics like these can be neatly summarized by two parameters: the mean and the standard deviation.                                                                                             To the right and left are two datasets that show values of body mass index (BMI). I can graph the frequency distribution of each dataset by following these steps: 1) I select the block of data; 2) I click on "Data" from the tool bar above, and then choose "Sort"; 3) I then indicate that it is to be sorted according to the column the data is located in, and select "Ok." 3) With the data sorted I can easily determine the minimum and maximum values and the frequency of each of the values in the range. I count how many of each there are and put these tallies in the smaller table entitled "Counts for Bar Chart". 4) I select the 2 column block of data in the "Counts for Bar Chart" and click on the Graph icon from the toolbar above (it is the miniature, multicolored vertical bar chart). I then indicate I want a vertical bar chart. Note: If it graphs the BMI and Frequency as two separate entities, you may have to first create the chart as an "XY Scatter" to indicate that they are related, and then convert the chart to a vertical bar.</t>
  </si>
  <si>
    <t>SD</t>
  </si>
  <si>
    <t>Median</t>
  </si>
  <si>
    <t xml:space="preserve">                                                                                                                      </t>
  </si>
  <si>
    <t xml:space="preserve">Examining the frequency distribution of a data set is an important first step in analysis. It gives an overall picture of the data, and the shape of the distribution determines the appropriate statistical analysis. Many statistical tests rely on the assumption that the data are normally distributed, and this isn't always the case. Below in the green cells is a data set with hospital length of stay (days) for rwo sets of patients who had femoral bypass surgery. One data set was collected before instituting a new clinical pathway and one set was collected after instituting it. </t>
  </si>
  <si>
    <t>Summary: Frequency of each LOS</t>
  </si>
  <si>
    <t>failed</t>
  </si>
  <si>
    <t>ok</t>
  </si>
  <si>
    <t>Two-tailed p-value; ttest with unequal variance</t>
  </si>
  <si>
    <t>10-20</t>
  </si>
  <si>
    <t>21-30</t>
  </si>
  <si>
    <t>31-40</t>
  </si>
  <si>
    <t>41-50</t>
  </si>
  <si>
    <t>51-60</t>
  </si>
  <si>
    <t>61-70</t>
  </si>
  <si>
    <t>Age</t>
  </si>
  <si>
    <t>Freq. failed</t>
  </si>
  <si>
    <t>Freq OK</t>
  </si>
  <si>
    <t>Consider the WBC counts (in thousands) in two groups of patients:</t>
  </si>
  <si>
    <t>N</t>
  </si>
  <si>
    <t>SEM (standard error of the mean)</t>
  </si>
  <si>
    <t>Two-tailed p-value by t-test for equal variance</t>
  </si>
  <si>
    <t>Two-tailed p-value by t-test for unequal variance</t>
  </si>
  <si>
    <t>BMI 1</t>
  </si>
  <si>
    <t>BMI 2</t>
  </si>
  <si>
    <t>p-value for unpaired t-test</t>
  </si>
  <si>
    <t>(before)</t>
  </si>
  <si>
    <t>(after)</t>
  </si>
  <si>
    <t>difference</t>
  </si>
  <si>
    <t>p-value with paired t-test</t>
  </si>
  <si>
    <t>Mean difference</t>
  </si>
  <si>
    <t xml:space="preserve">Prediction </t>
  </si>
  <si>
    <t>90% Confidence Interval</t>
  </si>
  <si>
    <t>95% Confidence Interval</t>
  </si>
  <si>
    <t>99% Confidence Interval</t>
  </si>
  <si>
    <t>Numerator</t>
  </si>
  <si>
    <t>Denominator</t>
  </si>
  <si>
    <t>Estimated</t>
  </si>
  <si>
    <t>+/-</t>
  </si>
  <si>
    <t>Lower</t>
  </si>
  <si>
    <t>Upper</t>
  </si>
  <si>
    <t>proportion</t>
  </si>
  <si>
    <t>Limit</t>
  </si>
  <si>
    <t>Upper CI=</t>
  </si>
  <si>
    <t>Lower CI=</t>
  </si>
  <si>
    <t>se(lnOR)</t>
  </si>
  <si>
    <t>"N"</t>
  </si>
  <si>
    <t>Anticipated Values: Put your anticipated proportions in the blue boxes.</t>
  </si>
  <si>
    <t>Subject</t>
  </si>
  <si>
    <t>Screening</t>
  </si>
  <si>
    <t>Gold Standard</t>
  </si>
  <si>
    <t>+</t>
  </si>
  <si>
    <t>Test</t>
  </si>
  <si>
    <t>Sensitivity</t>
  </si>
  <si>
    <t>Specificity</t>
  </si>
  <si>
    <t>PPV=</t>
  </si>
  <si>
    <t>NPV=</t>
  </si>
  <si>
    <t>Date of Onset</t>
  </si>
  <si>
    <t>Onset</t>
  </si>
  <si>
    <t># Cases</t>
  </si>
  <si>
    <t>Aortoiliac</t>
  </si>
  <si>
    <t>Fem-AK Pop</t>
  </si>
  <si>
    <t>Fem-Distal</t>
  </si>
  <si>
    <t>Anova: Single Factor</t>
  </si>
  <si>
    <t>SUMMARY</t>
  </si>
  <si>
    <t>Groups</t>
  </si>
  <si>
    <t>Count</t>
  </si>
  <si>
    <t>Sum</t>
  </si>
  <si>
    <t>Average</t>
  </si>
  <si>
    <t>ANOVA</t>
  </si>
  <si>
    <t>Source of Variation</t>
  </si>
  <si>
    <t>SS</t>
  </si>
  <si>
    <t>df</t>
  </si>
  <si>
    <t>MS</t>
  </si>
  <si>
    <t>F</t>
  </si>
  <si>
    <t>P-value</t>
  </si>
  <si>
    <t>F crit</t>
  </si>
  <si>
    <t>Between Groups</t>
  </si>
  <si>
    <t>Within Groups</t>
  </si>
  <si>
    <t>Total</t>
  </si>
  <si>
    <t>Normal Distribution &amp; 'Standard Deviation</t>
  </si>
  <si>
    <t>Skewed Distribution</t>
  </si>
  <si>
    <t>Statistical Tests</t>
  </si>
  <si>
    <t>Basic Concepts</t>
  </si>
  <si>
    <t>ANOVA (Analysis of Variance)</t>
  </si>
  <si>
    <t>Main Menu</t>
  </si>
  <si>
    <t>Epidemic curve (how to create one)</t>
  </si>
  <si>
    <t>Chi Squared Test</t>
  </si>
  <si>
    <t>Study Analysis</t>
  </si>
  <si>
    <t>Confidence Interval for a Proportion</t>
  </si>
  <si>
    <t>Case-Control</t>
  </si>
  <si>
    <t>Cohort Studies</t>
  </si>
  <si>
    <t xml:space="preserve">Screening Test Performance - Sensitivity/Specificity </t>
  </si>
  <si>
    <t>T-test (Unpaired)</t>
  </si>
  <si>
    <t>T-test (Paired)</t>
  </si>
  <si>
    <t>Sample Size Calculations</t>
  </si>
  <si>
    <t>Correlation &amp; Linear Regression</t>
  </si>
  <si>
    <t>Main Menu - The hyperlinks below take you to the appropriate worksheet.</t>
  </si>
  <si>
    <t>Stratum</t>
  </si>
  <si>
    <t>SE</t>
  </si>
  <si>
    <t>Standardized Proportion or "Rate"</t>
  </si>
  <si>
    <t>Standard Error</t>
  </si>
  <si>
    <t>95% CI for Standardized Rate</t>
  </si>
  <si>
    <t>Number of Events</t>
  </si>
  <si>
    <t>Number of Subjects</t>
  </si>
  <si>
    <t>Proportion or "Rate"</t>
  </si>
  <si>
    <t>Distribution of Reference Population</t>
  </si>
  <si>
    <t>e.g. age</t>
  </si>
  <si>
    <t>Totals</t>
  </si>
  <si>
    <t>&lt;5</t>
  </si>
  <si>
    <t>5-19</t>
  </si>
  <si>
    <t>20-44</t>
  </si>
  <si>
    <t>45-64</t>
  </si>
  <si>
    <t>65+</t>
  </si>
  <si>
    <t>Example:</t>
  </si>
  <si>
    <t>Adapted from Dr. Tim Heeren, Boston University School of Public Health, Dept. of Biostatistics</t>
  </si>
  <si>
    <r>
      <t>Direct Standardization</t>
    </r>
    <r>
      <rPr>
        <sz val="14"/>
        <rFont val="Arial"/>
        <family val="2"/>
      </rPr>
      <t xml:space="preserve"> (for Adjusted Rates)</t>
    </r>
  </si>
  <si>
    <t>Crude Rate</t>
  </si>
  <si>
    <t>Distribution of US Population in 1988</t>
  </si>
  <si>
    <t>Florida</t>
  </si>
  <si>
    <t>Alaska</t>
  </si>
  <si>
    <t>Standardized Rates (Proportions) - Direct Standardization</t>
  </si>
  <si>
    <t>For specific strata of a population (e.g. age groups) indicate the number of observed events and the number of people in the stratum in columns E and F. Indicate the distribution of some standard reference population in column C. [Leave a "1" in column F for extra strata to prevent calculation error.]</t>
  </si>
  <si>
    <t>Standardized Incidence Ratios</t>
  </si>
  <si>
    <t>&lt;20</t>
  </si>
  <si>
    <t>65-74</t>
  </si>
  <si>
    <t>75-84</t>
  </si>
  <si>
    <t>85+</t>
  </si>
  <si>
    <t># People in Community Strata</t>
  </si>
  <si>
    <t>State Cancer Rate (Standard)</t>
  </si>
  <si>
    <t>Expected # Community Cancers</t>
  </si>
  <si>
    <t>Observed # Community Cancers</t>
  </si>
  <si>
    <t>(Column CxD)</t>
  </si>
  <si>
    <t>SIR is useful for evaluating whether the number of observed cancers in a community exceeds the overall average rate for the entire state.</t>
  </si>
  <si>
    <t>Standardized Incidence Ratio</t>
  </si>
  <si>
    <t>Result</t>
  </si>
  <si>
    <t>Means:</t>
  </si>
  <si>
    <t>Std Error</t>
  </si>
  <si>
    <t>CONFIDENCE</t>
  </si>
  <si>
    <t>1.96* Std Error=</t>
  </si>
  <si>
    <t>T-crititcal</t>
  </si>
  <si>
    <t>T-crititcal*std err</t>
  </si>
  <si>
    <t>Using the Excel 'CONFIDENCE' function</t>
  </si>
  <si>
    <t>gives same thing as 1.96 x stderr</t>
  </si>
  <si>
    <t>Mode</t>
  </si>
  <si>
    <t>Minimum</t>
  </si>
  <si>
    <t>Maximum</t>
  </si>
  <si>
    <t>Note:</t>
  </si>
  <si>
    <r>
      <t>Descriptive Statistics</t>
    </r>
    <r>
      <rPr>
        <u/>
        <sz val="10"/>
        <color indexed="12"/>
        <rFont val="Arial"/>
        <family val="2"/>
      </rPr>
      <t xml:space="preserve"> (mean, median,mode, 95% confidence interval for a mean, standard deviation, standard error, range)</t>
    </r>
  </si>
  <si>
    <t>Example Data:</t>
  </si>
  <si>
    <t>Epidemiology/Biostatistics Tools</t>
  </si>
  <si>
    <t>Wayne W. LaMorte, MD, PhD, MPH                    Copyright 2006</t>
  </si>
  <si>
    <t>Random Number Generator</t>
  </si>
  <si>
    <t>Number of groups=</t>
  </si>
  <si>
    <t>Enter a seed #</t>
  </si>
  <si>
    <t>random #</t>
  </si>
  <si>
    <t>xe2</t>
  </si>
  <si>
    <t>/100</t>
  </si>
  <si>
    <t>trunc</t>
  </si>
  <si>
    <t>Assign to Group:</t>
  </si>
  <si>
    <t>Random Assignment to Groups</t>
  </si>
  <si>
    <t>Wayne W. LaMorte, MD, PhD, MPH   Copyright 2006</t>
  </si>
  <si>
    <t xml:space="preserve">Question: Was LOS different after instituting the pathway? </t>
  </si>
  <si>
    <t>Wayne W. LaMorte, MD, PhD, MPH                Copyright 2006</t>
  </si>
  <si>
    <t>Wayne W. LaMorte, MD, PhD, MPH            Copyright 2006</t>
  </si>
  <si>
    <t>Wayne W. LaMorte, MD, PhD, MPH                          Copyright 2006</t>
  </si>
  <si>
    <t>Wayne W. LaMorte, MD, PhD, MPH                      Copyright 2006</t>
  </si>
  <si>
    <t>Wayne W. LaMorte, MD, PhD, MPH                   Copyright 2006</t>
  </si>
  <si>
    <t>Wayne W. LaMorte, MD, PhD, MPH                                                              Copyright 2006</t>
  </si>
  <si>
    <t>Fisher's Exact Test (You need to be online to use this.)</t>
  </si>
  <si>
    <t>Conf. Level=</t>
  </si>
  <si>
    <t>Stratum 1</t>
  </si>
  <si>
    <t>Stratum 2</t>
  </si>
  <si>
    <t>ad/T=</t>
  </si>
  <si>
    <t>bc/T=</t>
  </si>
  <si>
    <r>
      <t>n</t>
    </r>
    <r>
      <rPr>
        <vertAlign val="subscript"/>
        <sz val="10"/>
        <rFont val="Arial"/>
        <family val="2"/>
      </rPr>
      <t>0</t>
    </r>
    <r>
      <rPr>
        <sz val="10"/>
        <rFont val="Arial"/>
      </rPr>
      <t>n</t>
    </r>
    <r>
      <rPr>
        <vertAlign val="subscript"/>
        <sz val="10"/>
        <rFont val="Arial"/>
        <family val="2"/>
      </rPr>
      <t>1</t>
    </r>
    <r>
      <rPr>
        <sz val="10"/>
        <rFont val="Arial"/>
      </rPr>
      <t>m</t>
    </r>
    <r>
      <rPr>
        <vertAlign val="subscript"/>
        <sz val="10"/>
        <rFont val="Arial"/>
        <family val="2"/>
      </rPr>
      <t>0</t>
    </r>
    <r>
      <rPr>
        <sz val="10"/>
        <rFont val="Arial"/>
      </rPr>
      <t>m</t>
    </r>
    <r>
      <rPr>
        <vertAlign val="subscript"/>
        <sz val="10"/>
        <rFont val="Arial"/>
        <family val="2"/>
      </rPr>
      <t>1</t>
    </r>
    <r>
      <rPr>
        <sz val="10"/>
        <rFont val="Arial"/>
      </rPr>
      <t>/(n</t>
    </r>
    <r>
      <rPr>
        <vertAlign val="superscript"/>
        <sz val="10"/>
        <rFont val="Arial"/>
        <family val="2"/>
      </rPr>
      <t>2</t>
    </r>
    <r>
      <rPr>
        <sz val="10"/>
        <rFont val="Arial"/>
      </rPr>
      <t>(n-1)=</t>
    </r>
  </si>
  <si>
    <t>Risk Ratio=</t>
  </si>
  <si>
    <t>In order to perform analysis of variance you must first intall the Excel "Analysis Tool-Pak". Click on "Tools" (above) and then on "Add-Ins" and select "Analysis Tool Pack" and "Analysis Tool-Pak - VBA"; then click "Ok". After installation, when you click on "Tools," you will see a new selection ("Data Analysis") at the bottom of the Tools menu. When you select "Data Analysis" you will see options for analysis of variance and other procedures.</t>
  </si>
  <si>
    <t>t-</t>
  </si>
  <si>
    <t>N=?</t>
  </si>
  <si>
    <t>Risk Difference=</t>
  </si>
  <si>
    <t># Needed to Treat=</t>
  </si>
  <si>
    <t>Unpaired T-test</t>
  </si>
  <si>
    <t>Paired T-test</t>
  </si>
  <si>
    <t>NNT=</t>
  </si>
  <si>
    <t>lnOR</t>
  </si>
  <si>
    <t>w</t>
  </si>
  <si>
    <t>(weight)</t>
  </si>
  <si>
    <t>STD (Stand. Dev.)</t>
  </si>
  <si>
    <t>IR (person-yr)</t>
  </si>
  <si>
    <t>Time (yr)</t>
  </si>
  <si>
    <t>CI=IRxT</t>
  </si>
  <si>
    <t>CI=1-e(-IRxT)</t>
  </si>
  <si>
    <t>Estimating Cumulative Incidence (CI) from Incidence Rate (IR)</t>
  </si>
  <si>
    <r>
      <t xml:space="preserve">Estimate over time when IR is </t>
    </r>
    <r>
      <rPr>
        <b/>
        <sz val="10"/>
        <rFont val="Arial"/>
        <family val="2"/>
      </rPr>
      <t>very</t>
    </r>
    <r>
      <rPr>
        <sz val="10"/>
        <rFont val="Arial"/>
      </rPr>
      <t xml:space="preserve"> low (0.001 person-yr)</t>
    </r>
  </si>
  <si>
    <t>Estimate over time when IR is low (0.01 person-yr)</t>
  </si>
  <si>
    <t>Curve 1</t>
  </si>
  <si>
    <t>Lower Bound</t>
  </si>
  <si>
    <t>Upper Bound</t>
  </si>
  <si>
    <t>RR</t>
  </si>
  <si>
    <t>SE(ln)</t>
  </si>
  <si>
    <t>Y-Values</t>
  </si>
  <si>
    <t>X-Values</t>
  </si>
  <si>
    <t>z value</t>
  </si>
  <si>
    <t>p-value</t>
  </si>
  <si>
    <t>Null Bar</t>
  </si>
  <si>
    <t>For p-value function</t>
  </si>
  <si>
    <t>From Ken Rothman's Episheet</t>
  </si>
  <si>
    <t>Rate Ratio=</t>
  </si>
  <si>
    <t>Incidence in exposed=</t>
  </si>
  <si>
    <t>Incidence in non-exposed=</t>
  </si>
  <si>
    <t>IR</t>
  </si>
  <si>
    <t>time (yrs)</t>
  </si>
  <si>
    <t>CI=IR*T</t>
  </si>
  <si>
    <t>CI=1-exp(-IR*T)</t>
  </si>
  <si>
    <t>Predicted # Deaths</t>
  </si>
  <si>
    <t>Person-Time</t>
  </si>
  <si>
    <t>Rate</t>
  </si>
  <si>
    <t>Confidence Limits</t>
  </si>
  <si>
    <t>Lower Limit</t>
  </si>
  <si>
    <t>Upper Limit</t>
  </si>
  <si>
    <t xml:space="preserve">confidence </t>
  </si>
  <si>
    <t>Select Confidence Level</t>
  </si>
  <si>
    <t>for a year if the denominator is person-years</t>
  </si>
  <si>
    <t>Rate Difference=</t>
  </si>
  <si>
    <t>Stratified Analysis (for 2 Substrata)</t>
  </si>
  <si>
    <t>Online Fisher's Exact Test</t>
  </si>
  <si>
    <t>Difference in frequency =</t>
  </si>
  <si>
    <t>Difference in means =</t>
  </si>
  <si>
    <t>(if p=0.000000 it means that p&lt;0.000001)</t>
  </si>
  <si>
    <t>Attrib. Prop. (AR%)=</t>
  </si>
  <si>
    <t>Population Attributable Fraction=</t>
  </si>
  <si>
    <t>(a+d)/T</t>
  </si>
  <si>
    <t>(b+c)/T</t>
  </si>
  <si>
    <t>Var[ln(ORmh)]=</t>
  </si>
  <si>
    <t>G1</t>
  </si>
  <si>
    <t>G2</t>
  </si>
  <si>
    <t>H1</t>
  </si>
  <si>
    <t>P1</t>
  </si>
  <si>
    <t>Q1</t>
  </si>
  <si>
    <t>H2</t>
  </si>
  <si>
    <t>P2</t>
  </si>
  <si>
    <t>Q2</t>
  </si>
  <si>
    <t>SE=</t>
  </si>
  <si>
    <t>ORmh=</t>
  </si>
  <si>
    <t>UL95%CI</t>
  </si>
  <si>
    <t>LL95%CI</t>
  </si>
  <si>
    <t>ln(OR mh)=</t>
  </si>
  <si>
    <t>Var(lnOR)</t>
  </si>
  <si>
    <t>ChiSq_het</t>
  </si>
  <si>
    <t>ChiSQ_HOMG=</t>
  </si>
  <si>
    <t>O-E</t>
  </si>
  <si>
    <t>Sum D54+H54</t>
  </si>
  <si>
    <t xml:space="preserve">O </t>
  </si>
  <si>
    <t>Sum c55+g55</t>
  </si>
  <si>
    <t>Difference</t>
  </si>
  <si>
    <t xml:space="preserve">Crude </t>
  </si>
  <si>
    <t>P-value (MH)=</t>
  </si>
  <si>
    <t>P-value (HOMOG)=</t>
  </si>
  <si>
    <t>ChiSqMH=</t>
  </si>
  <si>
    <t>Crude Odds Ratio=</t>
  </si>
  <si>
    <t>X</t>
  </si>
  <si>
    <t xml:space="preserve">Stratified Analysis </t>
  </si>
  <si>
    <t>For stratified analysis of risk data (cumulative incidence) use the worksheet entitled:</t>
  </si>
  <si>
    <t>Strat. Cohort CI (Rothman)</t>
  </si>
  <si>
    <t>For stratified analysis of rate data (incidence rates) use the worksheet entitled:</t>
  </si>
  <si>
    <t>Strat. Cohort IR (Rothman)</t>
  </si>
  <si>
    <t>For stratified analysis of case-control data for up to 12 sbstrata use the worksheet entitled:</t>
  </si>
  <si>
    <t>The area below provides an illustration of a stratified analysis that is limited to two substrata.</t>
  </si>
  <si>
    <t>Strat. Case-Control (Rothman)</t>
  </si>
  <si>
    <t>Well water</t>
  </si>
  <si>
    <t>City water</t>
  </si>
  <si>
    <t>Bottled water</t>
  </si>
  <si>
    <t>Distribution of the Combined Populations</t>
  </si>
  <si>
    <t>Minnesota</t>
  </si>
  <si>
    <t>Illinois</t>
  </si>
  <si>
    <t>Crude RR</t>
  </si>
  <si>
    <t>Adjusted RR</t>
  </si>
  <si>
    <r>
      <t>Direct Standardization</t>
    </r>
    <r>
      <rPr>
        <sz val="14"/>
        <rFont val="Arial"/>
        <family val="2"/>
      </rPr>
      <t xml:space="preserve"> (Birth Defects in Minnesota vs. Illinois)</t>
    </r>
  </si>
  <si>
    <t>Normal Probability Calculator</t>
  </si>
  <si>
    <t>Std. Dev.</t>
  </si>
  <si>
    <t>Enter the desired probability (percentile), e.g., for 90th percentile enter 0.90. Then enter the mean and standard deviation for the population. The function will return the value representing that percentile.</t>
  </si>
  <si>
    <t>Percentile</t>
  </si>
  <si>
    <t>Std. Dev</t>
  </si>
  <si>
    <t>Value at the Desired Percentile</t>
  </si>
  <si>
    <t>Enter your values</t>
  </si>
  <si>
    <t>Percentile Value Calculator</t>
  </si>
  <si>
    <t>Cumulative probability</t>
  </si>
  <si>
    <t>Enter the Mean and Std. Dev. for a population and an observed value (X) from the population. The function returns the probability of values less than the observed value. This can also be used to interpreted as the "percentile" for the observed value.</t>
  </si>
  <si>
    <t>The red cells indicate the two most commonly used estimates, i.e. using a p-value &lt;0.05 and either 90 or 80% power.</t>
  </si>
  <si>
    <t>Using Lisa Sullivan's "Essentials of Biostatistics in Public Health", chapter 8</t>
  </si>
  <si>
    <t>p1</t>
  </si>
  <si>
    <t>p2</t>
  </si>
  <si>
    <t>overall p</t>
  </si>
  <si>
    <t>Effect Size=</t>
  </si>
  <si>
    <r>
      <t>Z</t>
    </r>
    <r>
      <rPr>
        <vertAlign val="subscript"/>
        <sz val="10"/>
        <rFont val="Arial"/>
        <family val="2"/>
      </rPr>
      <t>(1-b)</t>
    </r>
  </si>
  <si>
    <r>
      <t>Z</t>
    </r>
    <r>
      <rPr>
        <vertAlign val="subscript"/>
        <sz val="10"/>
        <rFont val="Arial"/>
        <family val="2"/>
      </rPr>
      <t>(1-a/2)</t>
    </r>
  </si>
  <si>
    <t>n</t>
  </si>
  <si>
    <t>Case ID #</t>
  </si>
  <si>
    <t>p-value:</t>
  </si>
  <si>
    <t>Enter the observed number of events:</t>
  </si>
  <si>
    <t>Enter the usual (average) number of events:</t>
  </si>
  <si>
    <t>events =</t>
  </si>
  <si>
    <t>Probability of exactly</t>
  </si>
  <si>
    <t>Cumulative probability of &lt;</t>
  </si>
  <si>
    <r>
      <t xml:space="preserve">Cumulative probability of </t>
    </r>
    <r>
      <rPr>
        <u/>
        <sz val="10"/>
        <rFont val="Arial"/>
        <family val="2"/>
      </rPr>
      <t>&lt;</t>
    </r>
  </si>
  <si>
    <t>The Poisson Probability Calculator</t>
  </si>
  <si>
    <t>Cumulative probability of &gt;</t>
  </si>
  <si>
    <r>
      <t xml:space="preserve">Cumulative probability of </t>
    </r>
    <r>
      <rPr>
        <u/>
        <sz val="10"/>
        <rFont val="Arial"/>
        <family val="2"/>
      </rPr>
      <t>&gt;</t>
    </r>
  </si>
  <si>
    <t>The Binomial Probability Calculator</t>
  </si>
  <si>
    <t>Probability of "success" on each trial:</t>
  </si>
  <si>
    <t>SIR</t>
  </si>
  <si>
    <t>95%    lower</t>
  </si>
  <si>
    <t>CI   Upper</t>
  </si>
  <si>
    <t>observed</t>
  </si>
  <si>
    <t># expected</t>
  </si>
  <si>
    <t>Please enter your:</t>
  </si>
  <si>
    <t>Initial Body Wgt (lbs)</t>
  </si>
  <si>
    <t>(kcal/hr/lb)</t>
  </si>
  <si>
    <t>Hgt (inches)</t>
  </si>
  <si>
    <t>Your Initial Body Mass Index (BMI)=</t>
  </si>
  <si>
    <t>ACTIVITY</t>
  </si>
  <si>
    <t>BW=130</t>
  </si>
  <si>
    <t>BW=155</t>
  </si>
  <si>
    <t>BW=190</t>
  </si>
  <si>
    <t>slope</t>
  </si>
  <si>
    <t>Gender</t>
  </si>
  <si>
    <t>male</t>
  </si>
  <si>
    <t>Age (yrs.)</t>
  </si>
  <si>
    <t>Aerobics, general</t>
  </si>
  <si>
    <t xml:space="preserve">Select 1 to 3 new activities </t>
  </si>
  <si>
    <t>Enter duration &amp; frequency for each</t>
  </si>
  <si>
    <t>Wks</t>
  </si>
  <si>
    <t>Pred Wgt</t>
  </si>
  <si>
    <t>Pred BMI</t>
  </si>
  <si>
    <t>Actual Wgt</t>
  </si>
  <si>
    <t>Actual BMI</t>
  </si>
  <si>
    <t>BMR</t>
  </si>
  <si>
    <t>BMR delta</t>
  </si>
  <si>
    <t>cum delta</t>
  </si>
  <si>
    <t>Aerobics, high impact</t>
  </si>
  <si>
    <t>Additional Activities</t>
  </si>
  <si>
    <t># Min. each time</t>
  </si>
  <si>
    <t># Times/week</t>
  </si>
  <si>
    <t>Aerobics, low impact</t>
  </si>
  <si>
    <t>Activity #1</t>
  </si>
  <si>
    <t>Basketball, shooting baskets</t>
  </si>
  <si>
    <t>Backpacking, general</t>
  </si>
  <si>
    <t>Activity #2</t>
  </si>
  <si>
    <t>Walking, 3.5 mph, uphill</t>
  </si>
  <si>
    <t>Basketball, game</t>
  </si>
  <si>
    <t>Activity #3</t>
  </si>
  <si>
    <t>Basketball, nongame, general</t>
  </si>
  <si>
    <t>Basketball, officiating</t>
  </si>
  <si>
    <t>Basketball, wheelchair</t>
  </si>
  <si>
    <t>Bicycling, &lt;10mph, leisure</t>
  </si>
  <si>
    <t>Bicycling, &gt;20mph, racing</t>
  </si>
  <si>
    <t>Bicycling, 10-11.9mph, light effort</t>
  </si>
  <si>
    <t>Bicycling, 12-13.9mph, moderate effort</t>
  </si>
  <si>
    <t>Bicycling, 14-15.9mph, vigorous effort</t>
  </si>
  <si>
    <t>Bicycling, 16-19mph, very fast, racing</t>
  </si>
  <si>
    <t>Bicycling, BMX or mountain</t>
  </si>
  <si>
    <t>Bicycling, stationary, general</t>
  </si>
  <si>
    <t>Bicycling, stationary, light effort</t>
  </si>
  <si>
    <t>Bicycling, stationary, moderate effort</t>
  </si>
  <si>
    <t>Bicycling, stationary, very light effort</t>
  </si>
  <si>
    <t>Bicycling, stationary, very vigorous effort</t>
  </si>
  <si>
    <t>Bicycling, stationary, vigorous effort</t>
  </si>
  <si>
    <t>Bowling</t>
  </si>
  <si>
    <t>Boxing, in ring, general</t>
  </si>
  <si>
    <t>Boxing, punching bag</t>
  </si>
  <si>
    <t>Boxing, sparring</t>
  </si>
  <si>
    <t>Broomball</t>
  </si>
  <si>
    <t>Calisthenics (pushups, sit-ups), vigorous effort</t>
  </si>
  <si>
    <t>Calisthenics, home, light/moderate effort</t>
  </si>
  <si>
    <t>Canoeing, on camping trip</t>
  </si>
  <si>
    <t>Canoeing, rowing, &gt;6 mph, vigorous effort</t>
  </si>
  <si>
    <t>Canoeing, rowing, crewing, competition</t>
  </si>
  <si>
    <t>Canoeing, rowing, light effort</t>
  </si>
  <si>
    <t>Canoeing, rowing, moderate effort</t>
  </si>
  <si>
    <t>Carpentry, general</t>
  </si>
  <si>
    <t>Carrying heavy loads, such as bricks</t>
  </si>
  <si>
    <t>Circuit training, general</t>
  </si>
  <si>
    <t>Cleaning, heavy, vigorous effort</t>
  </si>
  <si>
    <t>Cleaning, house, general</t>
  </si>
  <si>
    <t>Cleaning, light, moderate effort</t>
  </si>
  <si>
    <t>Coaching: football, soccer, basketball, etc.</t>
  </si>
  <si>
    <t>Dancing, aerobic, ballet or modern, twist</t>
  </si>
  <si>
    <t>Dancing, ballroom, fast</t>
  </si>
  <si>
    <t>Dancing, ballroom, slow</t>
  </si>
  <si>
    <t>Dancing, general</t>
  </si>
  <si>
    <t>Darts, wall or lawn</t>
  </si>
  <si>
    <t>Diving, springboard or platform</t>
  </si>
  <si>
    <t>Fencing</t>
  </si>
  <si>
    <t>Football or baseball, playing catch</t>
  </si>
  <si>
    <t>Football, competitive</t>
  </si>
  <si>
    <t>Football, touch, flag, general</t>
  </si>
  <si>
    <t>Frisbee playing, general</t>
  </si>
  <si>
    <t>Frisbee, ultimate</t>
  </si>
  <si>
    <t>Gardening, general</t>
  </si>
  <si>
    <t>Golf, carrying clubs</t>
  </si>
  <si>
    <t>Golf, general</t>
  </si>
  <si>
    <t>Golf, miniature or driving range</t>
  </si>
  <si>
    <t>Golf, pulling clubs</t>
  </si>
  <si>
    <t>Golf, using power cart</t>
  </si>
  <si>
    <t>Gymnastics, general</t>
  </si>
  <si>
    <t>Health club exercise, general</t>
  </si>
  <si>
    <t>Hiking, cross country</t>
  </si>
  <si>
    <t>Hockey, field</t>
  </si>
  <si>
    <t>Hockey, ice</t>
  </si>
  <si>
    <t>Horse grooming</t>
  </si>
  <si>
    <t>Horse racing, galloping</t>
  </si>
  <si>
    <t>Horseback riding, general</t>
  </si>
  <si>
    <t>Horseback riding, trotting</t>
  </si>
  <si>
    <t>Horseback riding, walking</t>
  </si>
  <si>
    <t>Jogging, general</t>
  </si>
  <si>
    <t>Judo, karate, kick boxing, tae kwan do</t>
  </si>
  <si>
    <t>Kayaking</t>
  </si>
  <si>
    <t>Kickball</t>
  </si>
  <si>
    <t>Lacrosse</t>
  </si>
  <si>
    <t>Moving furniture, household</t>
  </si>
  <si>
    <t>Moving household items, boxes, upstairs</t>
  </si>
  <si>
    <t>Moving household items, carrying boxes</t>
  </si>
  <si>
    <t>Mowing lawn, general</t>
  </si>
  <si>
    <t>Mowing lawn, riding mower</t>
  </si>
  <si>
    <t>Paddleboat</t>
  </si>
  <si>
    <t>Polo</t>
  </si>
  <si>
    <t>Race walking</t>
  </si>
  <si>
    <t>Racquetball, casual, general</t>
  </si>
  <si>
    <t>Racquetball, competitive</t>
  </si>
  <si>
    <t>Raking lawn</t>
  </si>
  <si>
    <t>Rock climbing, ascending rock</t>
  </si>
  <si>
    <t>Rock climbing, rapelling</t>
  </si>
  <si>
    <t>Rope jumping, fast</t>
  </si>
  <si>
    <t>Rope jumping, moderate, general</t>
  </si>
  <si>
    <t>Rope jumping, slow</t>
  </si>
  <si>
    <t>Rowing, stationary, light effort</t>
  </si>
  <si>
    <t>Rowing, stationary, moderate effort</t>
  </si>
  <si>
    <t>Rowing, stationary, very vigorous effort</t>
  </si>
  <si>
    <t>Rowing, stationary, vigorous effort</t>
  </si>
  <si>
    <t>Rugby</t>
  </si>
  <si>
    <t>Running, 10 mph (6 min mile)</t>
  </si>
  <si>
    <t>Running, 10.9 mph (5.5 min mile)</t>
  </si>
  <si>
    <t>Running, 5 mph (12 min mile)</t>
  </si>
  <si>
    <t>Running, 5.2 mph (11.5 min mile)</t>
  </si>
  <si>
    <t>Running, 6 mph (10 min mile)</t>
  </si>
  <si>
    <t>Running, 6.7 mph (9 min mile)</t>
  </si>
  <si>
    <t>Running, 7 mph (8.5 min mile)</t>
  </si>
  <si>
    <t>Running, 7.5mph (8 min mile)</t>
  </si>
  <si>
    <t>Running, 8 mph (7.5 min mile)</t>
  </si>
  <si>
    <t>Running, 8.6 mph (7 min mile)</t>
  </si>
  <si>
    <t>Running, 9 mph (6.5 min mile)</t>
  </si>
  <si>
    <t>Running, cross country</t>
  </si>
  <si>
    <t>Running, general</t>
  </si>
  <si>
    <t>Running, in place</t>
  </si>
  <si>
    <t>Running, on a track, team practice</t>
  </si>
  <si>
    <t>Running, stairs, up</t>
  </si>
  <si>
    <t>Running, training, pushing wheelchair</t>
  </si>
  <si>
    <t>Running, wheeling, general</t>
  </si>
  <si>
    <t>Sailing, boat/board, windsurfing, general</t>
  </si>
  <si>
    <t>Sailing, in competition</t>
  </si>
  <si>
    <t>Shoveling snow, by hand</t>
  </si>
  <si>
    <t>Shuffleboard, lawn bowling</t>
  </si>
  <si>
    <t>Skateboarding</t>
  </si>
  <si>
    <t>Skating, ice, 9 mph or less</t>
  </si>
  <si>
    <t>Skating, ice, general</t>
  </si>
  <si>
    <t>Skating, ice, rapidly, &gt; 9 mph</t>
  </si>
  <si>
    <t>Skating, ice, speed, competitive</t>
  </si>
  <si>
    <t>Skating, roller</t>
  </si>
  <si>
    <t>Ski jumping (climb up carrying skis)</t>
  </si>
  <si>
    <t>Ski machine, general</t>
  </si>
  <si>
    <t>Skiing, cross-country, &gt;8.0 mph, racing</t>
  </si>
  <si>
    <t>Skiing, cross-country, moderate effort</t>
  </si>
  <si>
    <t>Skiing, cross-country, slow or light effort</t>
  </si>
  <si>
    <t>Skiing, cross-country, uphill, maximum effort</t>
  </si>
  <si>
    <t>Skiing, cross-country, vigorous effort</t>
  </si>
  <si>
    <t>Skiing, downhill, light effort</t>
  </si>
  <si>
    <t>Skiing, downhill, moderate effort</t>
  </si>
  <si>
    <t>Skiing, downhill, vigorous effort, racing</t>
  </si>
  <si>
    <t>Skiing, snow, general</t>
  </si>
  <si>
    <t>Skiing, water</t>
  </si>
  <si>
    <t>Ski-mobiling, water</t>
  </si>
  <si>
    <t>Skin diving, scuba diving, general</t>
  </si>
  <si>
    <t>Sledding, tobogganing, bobsledding, luge</t>
  </si>
  <si>
    <t>Snorkeling</t>
  </si>
  <si>
    <t>Snow shoeing</t>
  </si>
  <si>
    <t>Snowmobiling</t>
  </si>
  <si>
    <t>Soccer, casual, general</t>
  </si>
  <si>
    <t>Soccer, competitive</t>
  </si>
  <si>
    <t>Softball or baseball, fast or slow pitch</t>
  </si>
  <si>
    <t>Softball, officiating</t>
  </si>
  <si>
    <t>Squash</t>
  </si>
  <si>
    <t>Stair-treadmill ergometer, general</t>
  </si>
  <si>
    <t>Standing-packing/unpacking boxes</t>
  </si>
  <si>
    <t>Stretching, hatha yoga</t>
  </si>
  <si>
    <t>Surfing, body or board</t>
  </si>
  <si>
    <t>Swimming laps, freestyle, fast, vigorous effort</t>
  </si>
  <si>
    <t>Swimming laps, freestyle, light/moderate effort</t>
  </si>
  <si>
    <t>Swimming, backstroke, general</t>
  </si>
  <si>
    <t>Swimming, breaststroke, general</t>
  </si>
  <si>
    <t>Swimming, butterfly, general</t>
  </si>
  <si>
    <t>Swimming, leisurely, general</t>
  </si>
  <si>
    <t>Swimming, sidestroke, general</t>
  </si>
  <si>
    <t>Swimming, sychronized</t>
  </si>
  <si>
    <t>Swimming, treading water, fast/vigorous</t>
  </si>
  <si>
    <t>Swimming, treading water, moderate effort</t>
  </si>
  <si>
    <t>Table tennis, ping pong</t>
  </si>
  <si>
    <t>Tai chi</t>
  </si>
  <si>
    <t>Teaching aerobics class</t>
  </si>
  <si>
    <t>Tennis, doubles</t>
  </si>
  <si>
    <t>Tennis, general</t>
  </si>
  <si>
    <t>Tennis, singles</t>
  </si>
  <si>
    <t>Volleyball, beach</t>
  </si>
  <si>
    <t>Volleyball, competitive, in gymnasium</t>
  </si>
  <si>
    <t>Volleyball, noncompetitive; 6-9 member team</t>
  </si>
  <si>
    <t>Walk/run-playing with child(ren)-moderate</t>
  </si>
  <si>
    <t>Walk/run-playing with child(ren)-vigorous</t>
  </si>
  <si>
    <t>Walking, 2.0 mph, slow pace</t>
  </si>
  <si>
    <t>Walking, 3.0 mph, mod. pace, walking dog</t>
  </si>
  <si>
    <t>Walking, 4.0 mph, very brisk pace</t>
  </si>
  <si>
    <t>Walking, carrying infant or 15-lb load</t>
  </si>
  <si>
    <t>Walking, grass track</t>
  </si>
  <si>
    <t>Walking, upstairs</t>
  </si>
  <si>
    <t>Walking, using crutches</t>
  </si>
  <si>
    <t>Wallyball, general</t>
  </si>
  <si>
    <t>Water aerobics, water calisthenics</t>
  </si>
  <si>
    <t>Water polo</t>
  </si>
  <si>
    <t>Water volleyball</t>
  </si>
  <si>
    <t>Weight lifting or body building, vigorous effort</t>
  </si>
  <si>
    <t>Weight lifting, light or moderate effort</t>
  </si>
  <si>
    <t xml:space="preserve">Whitewater rafting, kayaking, or canoeing </t>
  </si>
  <si>
    <t>For i=1</t>
  </si>
  <si>
    <t>Numer.</t>
  </si>
  <si>
    <t>Denom.</t>
  </si>
  <si>
    <t>S(numer)</t>
  </si>
  <si>
    <t>S(denom.)</t>
  </si>
  <si>
    <t>Exp</t>
  </si>
  <si>
    <t>Not Ex</t>
  </si>
  <si>
    <t>I(exp)=</t>
  </si>
  <si>
    <t>I(non-exp)=</t>
  </si>
  <si>
    <t>Crude RR=</t>
  </si>
  <si>
    <t>RR=</t>
  </si>
  <si>
    <t>Enter the number of successess:</t>
  </si>
  <si>
    <t>Enter the number of "trials":</t>
  </si>
  <si>
    <t>Stratum1</t>
  </si>
  <si>
    <t>Stratum2</t>
  </si>
  <si>
    <t>For i=2</t>
  </si>
  <si>
    <t>For i=3</t>
  </si>
  <si>
    <t>For i=5</t>
  </si>
  <si>
    <t>Stratum3</t>
  </si>
  <si>
    <t>Stratum4</t>
  </si>
  <si>
    <t>Stratum5</t>
  </si>
  <si>
    <t>RR(mh)=</t>
  </si>
  <si>
    <t>Mantel-Haenszel for RR</t>
  </si>
  <si>
    <t>Crude 0R=</t>
  </si>
  <si>
    <t>OR(mh)=</t>
  </si>
  <si>
    <t>Mantel-Haenszel for OR</t>
  </si>
  <si>
    <t>Active</t>
  </si>
  <si>
    <t>Sedentary</t>
  </si>
  <si>
    <t>Young</t>
  </si>
  <si>
    <t>Old</t>
  </si>
  <si>
    <t>events</t>
  </si>
  <si>
    <t>pop</t>
  </si>
  <si>
    <t>% pop.</t>
  </si>
  <si>
    <t>TOTAL</t>
  </si>
  <si>
    <t>Not</t>
  </si>
  <si>
    <t>CHD+</t>
  </si>
  <si>
    <t>CHD-</t>
  </si>
  <si>
    <t>Hypothetical Stratified Analysis of Active vs. Inactive People and Risk of CHD</t>
  </si>
  <si>
    <t>Comparison of Active vs. Inactive "Populations" Using Standarization</t>
  </si>
  <si>
    <t xml:space="preserve">Active </t>
  </si>
  <si>
    <t>Standardized RR=0.0566/0.0676=</t>
  </si>
  <si>
    <t>ln(OR)=</t>
  </si>
  <si>
    <t>w=</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</si>
</sst>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
    <numFmt numFmtId="165" formatCode="0.0000"/>
    <numFmt numFmtId="166" formatCode="0.000000"/>
    <numFmt numFmtId="167" formatCode="0.000"/>
    <numFmt numFmtId="168" formatCode="0.00000"/>
    <numFmt numFmtId="169" formatCode="m/d;@"/>
    <numFmt numFmtId="170" formatCode="m/d/yy;@"/>
    <numFmt numFmtId="171" formatCode="0.00000000"/>
    <numFmt numFmtId="172" formatCode="0.000000000"/>
    <numFmt numFmtId="173" formatCode="0.0000000000"/>
  </numFmts>
  <fonts count="106" x14ac:knownFonts="1">
    <font>
      <sz val="10"/>
      <name val="Arial"/>
    </font>
    <font>
      <sz val="10"/>
      <name val="Arial"/>
    </font>
    <font>
      <b/>
      <sz val="12"/>
      <color indexed="12"/>
      <name val="Arial"/>
      <family val="2"/>
    </font>
    <font>
      <b/>
      <sz val="12"/>
      <color indexed="10"/>
      <name val="Arial"/>
      <family val="2"/>
    </font>
    <font>
      <sz val="8"/>
      <name val="Arial"/>
      <family val="2"/>
    </font>
    <font>
      <b/>
      <sz val="8"/>
      <color indexed="22"/>
      <name val="Arial"/>
      <family val="2"/>
    </font>
    <font>
      <sz val="8"/>
      <color indexed="22"/>
      <name val="Arial"/>
      <family val="2"/>
    </font>
    <font>
      <b/>
      <sz val="11"/>
      <color indexed="10"/>
      <name val="Arial"/>
      <family val="2"/>
    </font>
    <font>
      <b/>
      <sz val="11"/>
      <color indexed="22"/>
      <name val="Arial"/>
      <family val="2"/>
    </font>
    <font>
      <b/>
      <sz val="9"/>
      <color indexed="22"/>
      <name val="Arial"/>
      <family val="2"/>
    </font>
    <font>
      <b/>
      <sz val="12"/>
      <color indexed="17"/>
      <name val="Arial"/>
      <family val="2"/>
    </font>
    <font>
      <b/>
      <sz val="10"/>
      <color indexed="10"/>
      <name val="Arial"/>
      <family val="2"/>
    </font>
    <font>
      <b/>
      <sz val="12"/>
      <color indexed="17"/>
      <name val="Arial"/>
      <family val="2"/>
    </font>
    <font>
      <b/>
      <sz val="12"/>
      <color indexed="10"/>
      <name val="Arial"/>
      <family val="2"/>
    </font>
    <font>
      <sz val="12"/>
      <color indexed="17"/>
      <name val="Arial"/>
      <family val="2"/>
    </font>
    <font>
      <b/>
      <sz val="10"/>
      <name val="Arial"/>
      <family val="2"/>
    </font>
    <font>
      <b/>
      <sz val="10"/>
      <color indexed="10"/>
      <name val="Arial"/>
      <family val="2"/>
    </font>
    <font>
      <b/>
      <sz val="12"/>
      <name val="Arial"/>
      <family val="2"/>
    </font>
    <font>
      <sz val="10"/>
      <name val="Arial"/>
      <family val="2"/>
    </font>
    <font>
      <b/>
      <sz val="9"/>
      <name val="Arial"/>
      <family val="2"/>
    </font>
    <font>
      <sz val="9"/>
      <name val="Arial"/>
      <family val="2"/>
    </font>
    <font>
      <sz val="9"/>
      <color indexed="10"/>
      <name val="Arial"/>
      <family val="2"/>
    </font>
    <font>
      <sz val="9"/>
      <color indexed="61"/>
      <name val="Arial"/>
      <family val="2"/>
    </font>
    <font>
      <b/>
      <sz val="14"/>
      <color indexed="17"/>
      <name val="Arial"/>
      <family val="2"/>
    </font>
    <font>
      <b/>
      <sz val="10"/>
      <color indexed="17"/>
      <name val="Arial"/>
      <family val="2"/>
    </font>
    <font>
      <sz val="10"/>
      <color indexed="10"/>
      <name val="Arial"/>
      <family val="2"/>
    </font>
    <font>
      <b/>
      <sz val="10"/>
      <color indexed="39"/>
      <name val="MS Sans Serif"/>
      <family val="2"/>
    </font>
    <font>
      <b/>
      <sz val="10"/>
      <name val="MS Sans Serif"/>
    </font>
    <font>
      <sz val="10"/>
      <name val="MS Sans Serif"/>
    </font>
    <font>
      <b/>
      <sz val="8"/>
      <name val="MS Sans Serif"/>
    </font>
    <font>
      <b/>
      <i/>
      <sz val="10"/>
      <name val="MS Sans Serif"/>
    </font>
    <font>
      <b/>
      <sz val="10"/>
      <color indexed="10"/>
      <name val="MS Sans Serif"/>
      <family val="2"/>
    </font>
    <font>
      <b/>
      <sz val="10"/>
      <color indexed="12"/>
      <name val="Arial"/>
      <family val="2"/>
    </font>
    <font>
      <b/>
      <sz val="11"/>
      <color indexed="17"/>
      <name val="Arial"/>
      <family val="2"/>
    </font>
    <font>
      <b/>
      <sz val="14"/>
      <name val="Arial"/>
      <family val="2"/>
    </font>
    <font>
      <sz val="14"/>
      <color indexed="17"/>
      <name val="Arial"/>
      <family val="2"/>
    </font>
    <font>
      <sz val="14"/>
      <name val="Arial"/>
      <family val="2"/>
    </font>
    <font>
      <i/>
      <sz val="10"/>
      <name val="Arial"/>
      <family val="2"/>
    </font>
    <font>
      <sz val="10"/>
      <color indexed="22"/>
      <name val="Arial"/>
      <family val="2"/>
    </font>
    <font>
      <sz val="10"/>
      <color indexed="23"/>
      <name val="Arial"/>
      <family val="2"/>
    </font>
    <font>
      <b/>
      <sz val="10"/>
      <name val="MS Sans Serif"/>
    </font>
    <font>
      <sz val="10"/>
      <color indexed="22"/>
      <name val="MS Sans Serif"/>
    </font>
    <font>
      <sz val="10"/>
      <color indexed="10"/>
      <name val="Arial"/>
      <family val="2"/>
    </font>
    <font>
      <sz val="8"/>
      <name val="Arial"/>
      <family val="2"/>
    </font>
    <font>
      <b/>
      <sz val="10"/>
      <color indexed="57"/>
      <name val="Arial"/>
      <family val="2"/>
    </font>
    <font>
      <u/>
      <sz val="10"/>
      <color indexed="12"/>
      <name val="Arial"/>
      <family val="2"/>
    </font>
    <font>
      <b/>
      <u/>
      <sz val="10"/>
      <color indexed="12"/>
      <name val="Arial"/>
      <family val="2"/>
    </font>
    <font>
      <sz val="10"/>
      <color indexed="17"/>
      <name val="Arial"/>
      <family val="2"/>
    </font>
    <font>
      <sz val="14"/>
      <color indexed="17"/>
      <name val="Arial"/>
      <family val="2"/>
    </font>
    <font>
      <b/>
      <sz val="10"/>
      <color indexed="17"/>
      <name val="Arial"/>
      <family val="2"/>
    </font>
    <font>
      <b/>
      <sz val="14"/>
      <color indexed="10"/>
      <name val="Arial"/>
      <family val="2"/>
    </font>
    <font>
      <sz val="12"/>
      <name val="Arial"/>
      <family val="2"/>
    </font>
    <font>
      <b/>
      <sz val="10"/>
      <color indexed="49"/>
      <name val="Arial"/>
      <family val="2"/>
    </font>
    <font>
      <sz val="14"/>
      <name val="Arial"/>
      <family val="2"/>
    </font>
    <font>
      <b/>
      <sz val="10"/>
      <color indexed="22"/>
      <name val="Arial"/>
      <family val="2"/>
    </font>
    <font>
      <sz val="10"/>
      <color indexed="22"/>
      <name val="Arial"/>
      <family val="2"/>
    </font>
    <font>
      <sz val="9"/>
      <name val="Arial"/>
      <family val="2"/>
    </font>
    <font>
      <sz val="10"/>
      <color indexed="9"/>
      <name val="Arial"/>
      <family val="2"/>
    </font>
    <font>
      <sz val="10"/>
      <color indexed="55"/>
      <name val="Arial"/>
      <family val="2"/>
    </font>
    <font>
      <b/>
      <sz val="12"/>
      <color indexed="55"/>
      <name val="Arial"/>
      <family val="2"/>
    </font>
    <font>
      <b/>
      <sz val="10"/>
      <color indexed="55"/>
      <name val="Arial"/>
      <family val="2"/>
    </font>
    <font>
      <i/>
      <sz val="10"/>
      <name val="Arial"/>
      <family val="2"/>
    </font>
    <font>
      <vertAlign val="superscript"/>
      <sz val="10"/>
      <name val="Arial"/>
      <family val="2"/>
    </font>
    <font>
      <vertAlign val="subscript"/>
      <sz val="10"/>
      <name val="Arial"/>
      <family val="2"/>
    </font>
    <font>
      <i/>
      <sz val="12"/>
      <name val="Arial"/>
      <family val="2"/>
    </font>
    <font>
      <sz val="8"/>
      <color indexed="81"/>
      <name val="Tahoma"/>
      <family val="2"/>
    </font>
    <font>
      <b/>
      <sz val="8"/>
      <color indexed="81"/>
      <name val="Tahoma"/>
      <family val="2"/>
    </font>
    <font>
      <b/>
      <u/>
      <sz val="8"/>
      <color indexed="81"/>
      <name val="Tahoma"/>
      <family val="2"/>
    </font>
    <font>
      <sz val="9"/>
      <color indexed="81"/>
      <name val="Tahoma"/>
      <family val="2"/>
    </font>
    <font>
      <b/>
      <sz val="9"/>
      <color indexed="81"/>
      <name val="Tahoma"/>
      <family val="2"/>
    </font>
    <font>
      <b/>
      <u/>
      <sz val="10"/>
      <name val="Arial"/>
      <family val="2"/>
    </font>
    <font>
      <b/>
      <sz val="10"/>
      <color indexed="81"/>
      <name val="Tahoma"/>
      <family val="2"/>
    </font>
    <font>
      <sz val="10"/>
      <color indexed="81"/>
      <name val="Tahoma"/>
      <family val="2"/>
    </font>
    <font>
      <sz val="10"/>
      <color indexed="55"/>
      <name val="Arial"/>
      <family val="2"/>
    </font>
    <font>
      <sz val="10"/>
      <name val="Arial"/>
      <family val="2"/>
    </font>
    <font>
      <u/>
      <sz val="10"/>
      <name val="Arial"/>
      <family val="2"/>
    </font>
    <font>
      <b/>
      <sz val="11"/>
      <name val="Arial"/>
      <family val="2"/>
    </font>
    <font>
      <sz val="11"/>
      <name val="Arial"/>
      <family val="2"/>
    </font>
    <font>
      <sz val="12"/>
      <color rgb="FFFF0000"/>
      <name val="Arial"/>
      <family val="2"/>
    </font>
    <font>
      <sz val="10"/>
      <color theme="0" tint="-0.249977111117893"/>
      <name val="Arial"/>
      <family val="2"/>
    </font>
    <font>
      <b/>
      <sz val="10"/>
      <color theme="0" tint="-0.249977111117893"/>
      <name val="Arial"/>
      <family val="2"/>
    </font>
    <font>
      <b/>
      <sz val="10"/>
      <color rgb="FFFF0000"/>
      <name val="Arial"/>
      <family val="2"/>
    </font>
    <font>
      <sz val="10"/>
      <color rgb="FF454545"/>
      <name val="Arial"/>
      <family val="2"/>
    </font>
    <font>
      <b/>
      <sz val="12"/>
      <color rgb="FF008000"/>
      <name val="Arial"/>
      <family val="2"/>
    </font>
    <font>
      <sz val="10"/>
      <color rgb="FF007E39"/>
      <name val="Arial"/>
      <family val="2"/>
    </font>
    <font>
      <b/>
      <sz val="10"/>
      <color rgb="FF007E39"/>
      <name val="Arial"/>
      <family val="2"/>
    </font>
    <font>
      <b/>
      <sz val="12"/>
      <color rgb="FF007E39"/>
      <name val="Arial"/>
      <family val="2"/>
    </font>
    <font>
      <i/>
      <sz val="10"/>
      <color theme="3" tint="0.39997558519241921"/>
      <name val="Arial"/>
      <family val="2"/>
    </font>
    <font>
      <sz val="10"/>
      <color theme="4"/>
      <name val="Arial"/>
      <family val="2"/>
    </font>
    <font>
      <sz val="10"/>
      <color rgb="FF002060"/>
      <name val="Arial"/>
      <family val="2"/>
    </font>
    <font>
      <b/>
      <sz val="10"/>
      <color theme="1"/>
      <name val="Arial"/>
      <family val="2"/>
    </font>
    <font>
      <sz val="10"/>
      <color theme="1"/>
      <name val="Arial"/>
      <family val="2"/>
    </font>
    <font>
      <b/>
      <sz val="10"/>
      <color rgb="FF00863D"/>
      <name val="Arial"/>
      <family val="2"/>
    </font>
    <font>
      <sz val="10"/>
      <color rgb="FFFF0000"/>
      <name val="Arial"/>
      <family val="2"/>
    </font>
    <font>
      <b/>
      <sz val="10"/>
      <color rgb="FF0066FF"/>
      <name val="Arial"/>
      <family val="2"/>
    </font>
    <font>
      <b/>
      <sz val="10"/>
      <color rgb="FF006600"/>
      <name val="Arial"/>
      <family val="2"/>
    </font>
    <font>
      <sz val="10"/>
      <color theme="2" tint="-9.9978637043366805E-2"/>
      <name val="Arial"/>
      <family val="2"/>
    </font>
    <font>
      <b/>
      <sz val="12"/>
      <color theme="1"/>
      <name val="Arial"/>
      <family val="2"/>
    </font>
    <font>
      <b/>
      <sz val="12"/>
      <color rgb="FF004821"/>
      <name val="Arial"/>
      <family val="2"/>
    </font>
    <font>
      <b/>
      <sz val="12"/>
      <color rgb="FF006600"/>
      <name val="Arial"/>
      <family val="2"/>
    </font>
    <font>
      <b/>
      <sz val="14"/>
      <color rgb="FF006600"/>
      <name val="Arial"/>
      <family val="2"/>
    </font>
    <font>
      <b/>
      <sz val="12"/>
      <color rgb="FFFF0000"/>
      <name val="Arial"/>
      <family val="2"/>
    </font>
    <font>
      <b/>
      <sz val="14"/>
      <color rgb="FFFF0000"/>
      <name val="Arial"/>
      <family val="2"/>
    </font>
    <font>
      <b/>
      <sz val="14"/>
      <color theme="6" tint="-0.499984740745262"/>
      <name val="Arial"/>
      <family val="2"/>
    </font>
    <font>
      <b/>
      <sz val="14"/>
      <color theme="4" tint="-0.249977111117893"/>
      <name val="Arial"/>
      <family val="2"/>
    </font>
    <font>
      <b/>
      <u/>
      <sz val="12"/>
      <color indexed="17"/>
      <name val="Arial"/>
      <family val="2"/>
    </font>
  </fonts>
  <fills count="26">
    <fill>
      <patternFill patternType="none"/>
    </fill>
    <fill>
      <patternFill patternType="gray125"/>
    </fill>
    <fill>
      <patternFill patternType="solid">
        <fgColor indexed="27"/>
        <bgColor indexed="64"/>
      </patternFill>
    </fill>
    <fill>
      <patternFill patternType="solid">
        <fgColor indexed="22"/>
        <bgColor indexed="64"/>
      </patternFill>
    </fill>
    <fill>
      <patternFill patternType="solid">
        <fgColor indexed="51"/>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15"/>
        <bgColor indexed="64"/>
      </patternFill>
    </fill>
    <fill>
      <patternFill patternType="solid">
        <fgColor indexed="43"/>
        <bgColor indexed="64"/>
      </patternFill>
    </fill>
    <fill>
      <patternFill patternType="solid">
        <fgColor indexed="11"/>
        <bgColor indexed="64"/>
      </patternFill>
    </fill>
    <fill>
      <patternFill patternType="solid">
        <fgColor indexed="10"/>
        <bgColor indexed="64"/>
      </patternFill>
    </fill>
    <fill>
      <patternFill patternType="solid">
        <fgColor indexed="13"/>
        <bgColor indexed="64"/>
      </patternFill>
    </fill>
    <fill>
      <patternFill patternType="solid">
        <fgColor indexed="14"/>
        <bgColor indexed="64"/>
      </patternFill>
    </fill>
    <fill>
      <patternFill patternType="solid">
        <fgColor indexed="26"/>
        <bgColor indexed="64"/>
      </patternFill>
    </fill>
    <fill>
      <patternFill patternType="solid">
        <fgColor indexed="44"/>
        <bgColor indexed="64"/>
      </patternFill>
    </fill>
    <fill>
      <patternFill patternType="solid">
        <fgColor theme="0"/>
        <bgColor indexed="64"/>
      </patternFill>
    </fill>
    <fill>
      <patternFill patternType="solid">
        <fgColor rgb="FFCCFFFF"/>
        <bgColor indexed="64"/>
      </patternFill>
    </fill>
    <fill>
      <patternFill patternType="solid">
        <fgColor theme="9"/>
        <bgColor indexed="64"/>
      </patternFill>
    </fill>
    <fill>
      <patternFill patternType="solid">
        <fgColor theme="0" tint="-4.9989318521683403E-2"/>
        <bgColor indexed="64"/>
      </patternFill>
    </fill>
    <fill>
      <patternFill patternType="solid">
        <fgColor rgb="FF66FFCC"/>
        <bgColor indexed="64"/>
      </patternFill>
    </fill>
    <fill>
      <patternFill patternType="solid">
        <fgColor theme="4" tint="0.79998168889431442"/>
        <bgColor indexed="64"/>
      </patternFill>
    </fill>
    <fill>
      <patternFill patternType="solid">
        <fgColor rgb="FFFFFF00"/>
        <bgColor indexed="64"/>
      </patternFill>
    </fill>
    <fill>
      <patternFill patternType="solid">
        <fgColor rgb="FF00FFFF"/>
        <bgColor indexed="64"/>
      </patternFill>
    </fill>
    <fill>
      <patternFill patternType="solid">
        <fgColor rgb="FFFFFF99"/>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45" fillId="0" borderId="0" applyNumberFormat="0" applyFill="0" applyBorder="0" applyAlignment="0" applyProtection="0">
      <alignment vertical="top"/>
      <protection locked="0"/>
    </xf>
  </cellStyleXfs>
  <cellXfs count="559">
    <xf numFmtId="0" fontId="0" fillId="0" borderId="0" xfId="0"/>
    <xf numFmtId="0" fontId="0" fillId="0" borderId="0" xfId="0" applyAlignment="1">
      <alignment horizontal="right"/>
    </xf>
    <xf numFmtId="0" fontId="0" fillId="0" borderId="0" xfId="0" quotePrefix="1"/>
    <xf numFmtId="0" fontId="2" fillId="0" borderId="0" xfId="0" applyFont="1"/>
    <xf numFmtId="0" fontId="4" fillId="0" borderId="0" xfId="0" applyFont="1"/>
    <xf numFmtId="0" fontId="5" fillId="0" borderId="0" xfId="0" applyFont="1" applyBorder="1" applyAlignment="1">
      <alignment horizontal="center" textRotation="90" wrapText="1"/>
    </xf>
    <xf numFmtId="0" fontId="4" fillId="0" borderId="0" xfId="0" applyFont="1" applyBorder="1" applyAlignment="1">
      <alignment horizontal="center"/>
    </xf>
    <xf numFmtId="166" fontId="6" fillId="0" borderId="0" xfId="0" applyNumberFormat="1" applyFont="1" applyAlignment="1">
      <alignment horizontal="left"/>
    </xf>
    <xf numFmtId="165" fontId="6" fillId="0" borderId="0" xfId="0" applyNumberFormat="1" applyFont="1" applyAlignment="1">
      <alignment horizontal="left"/>
    </xf>
    <xf numFmtId="0" fontId="7" fillId="0" borderId="0" xfId="0" applyFont="1" applyAlignment="1">
      <alignment horizontal="right"/>
    </xf>
    <xf numFmtId="0" fontId="8" fillId="0" borderId="0" xfId="0" applyFont="1" applyAlignment="1">
      <alignment horizontal="right"/>
    </xf>
    <xf numFmtId="167" fontId="6" fillId="0" borderId="0" xfId="0" applyNumberFormat="1" applyFont="1" applyAlignment="1">
      <alignment horizontal="center"/>
    </xf>
    <xf numFmtId="167" fontId="4" fillId="0" borderId="0" xfId="0" applyNumberFormat="1" applyFont="1" applyAlignment="1">
      <alignment horizontal="center"/>
    </xf>
    <xf numFmtId="0" fontId="6" fillId="0" borderId="0" xfId="0" applyFont="1"/>
    <xf numFmtId="0" fontId="9" fillId="0" borderId="0" xfId="0" applyFont="1" applyAlignment="1">
      <alignment horizontal="right"/>
    </xf>
    <xf numFmtId="0" fontId="0" fillId="2" borderId="1" xfId="0" applyFill="1" applyBorder="1" applyProtection="1">
      <protection locked="0"/>
    </xf>
    <xf numFmtId="0" fontId="10" fillId="0" borderId="0" xfId="0" applyFont="1" applyAlignment="1">
      <alignment horizontal="right"/>
    </xf>
    <xf numFmtId="0" fontId="10" fillId="0" borderId="0" xfId="0" applyFont="1"/>
    <xf numFmtId="0" fontId="12" fillId="0" borderId="0" xfId="0" applyFont="1"/>
    <xf numFmtId="0" fontId="14" fillId="0" borderId="0" xfId="0" applyFont="1"/>
    <xf numFmtId="2" fontId="0" fillId="0" borderId="0" xfId="0" applyNumberFormat="1"/>
    <xf numFmtId="2" fontId="11" fillId="0" borderId="0" xfId="0" applyNumberFormat="1" applyFont="1"/>
    <xf numFmtId="0" fontId="15" fillId="0" borderId="0" xfId="0" applyFont="1"/>
    <xf numFmtId="167" fontId="16" fillId="0" borderId="0" xfId="0" applyNumberFormat="1" applyFont="1"/>
    <xf numFmtId="2" fontId="0" fillId="3" borderId="1" xfId="0" applyNumberFormat="1" applyFill="1" applyBorder="1"/>
    <xf numFmtId="0" fontId="19" fillId="0" borderId="0" xfId="0" applyFont="1" applyBorder="1" applyAlignment="1">
      <alignment horizontal="center" textRotation="90"/>
    </xf>
    <xf numFmtId="0" fontId="19" fillId="0" borderId="0" xfId="0" applyFont="1" applyBorder="1" applyAlignment="1">
      <alignment horizontal="center" textRotation="90" wrapText="1"/>
    </xf>
    <xf numFmtId="0" fontId="20" fillId="0" borderId="1" xfId="0" applyFont="1" applyBorder="1" applyAlignment="1">
      <alignment horizontal="center"/>
    </xf>
    <xf numFmtId="0" fontId="20" fillId="0" borderId="0" xfId="0" applyFont="1" applyBorder="1" applyAlignment="1">
      <alignment horizontal="center"/>
    </xf>
    <xf numFmtId="0" fontId="20" fillId="2" borderId="1" xfId="0" applyFont="1" applyFill="1" applyBorder="1" applyProtection="1">
      <protection locked="0"/>
    </xf>
    <xf numFmtId="164" fontId="20" fillId="4" borderId="1" xfId="0" applyNumberFormat="1" applyFont="1" applyFill="1" applyBorder="1"/>
    <xf numFmtId="165" fontId="20" fillId="4" borderId="1" xfId="0" applyNumberFormat="1" applyFont="1" applyFill="1" applyBorder="1"/>
    <xf numFmtId="165" fontId="21" fillId="4" borderId="1" xfId="0" applyNumberFormat="1" applyFont="1" applyFill="1" applyBorder="1"/>
    <xf numFmtId="165" fontId="22" fillId="4" borderId="1" xfId="0" applyNumberFormat="1" applyFont="1" applyFill="1" applyBorder="1"/>
    <xf numFmtId="0" fontId="20" fillId="4" borderId="1" xfId="0" applyFont="1" applyFill="1" applyBorder="1"/>
    <xf numFmtId="0" fontId="24" fillId="0" borderId="0" xfId="0" applyFont="1"/>
    <xf numFmtId="0" fontId="24" fillId="0" borderId="0" xfId="0" applyFont="1" applyAlignment="1">
      <alignment horizontal="right"/>
    </xf>
    <xf numFmtId="165" fontId="11" fillId="0" borderId="0" xfId="0" applyNumberFormat="1" applyFont="1"/>
    <xf numFmtId="0" fontId="0" fillId="5" borderId="1" xfId="0" applyFill="1" applyBorder="1" applyProtection="1"/>
    <xf numFmtId="2" fontId="0" fillId="5" borderId="1" xfId="0" applyNumberFormat="1" applyFill="1" applyBorder="1"/>
    <xf numFmtId="0" fontId="25" fillId="0" borderId="0" xfId="0" applyFont="1" applyFill="1" applyAlignment="1">
      <alignment horizontal="center"/>
    </xf>
    <xf numFmtId="0" fontId="15" fillId="0" borderId="0" xfId="0" applyFont="1" applyAlignment="1">
      <alignment horizontal="center"/>
    </xf>
    <xf numFmtId="2" fontId="16" fillId="0" borderId="0" xfId="0" applyNumberFormat="1" applyFont="1"/>
    <xf numFmtId="0" fontId="16" fillId="0" borderId="0" xfId="0" applyFont="1"/>
    <xf numFmtId="0" fontId="15" fillId="0" borderId="0" xfId="0" quotePrefix="1" applyFont="1" applyAlignment="1">
      <alignment horizontal="center"/>
    </xf>
    <xf numFmtId="1" fontId="0" fillId="0" borderId="0" xfId="0" applyNumberFormat="1"/>
    <xf numFmtId="0" fontId="17" fillId="0" borderId="0" xfId="0" quotePrefix="1" applyFont="1"/>
    <xf numFmtId="0" fontId="0" fillId="0" borderId="0" xfId="0" applyAlignment="1">
      <alignment horizontal="left" vertical="top" wrapText="1"/>
    </xf>
    <xf numFmtId="0" fontId="0" fillId="0" borderId="0" xfId="0" applyNumberFormat="1"/>
    <xf numFmtId="0" fontId="32" fillId="0" borderId="0" xfId="0" applyFont="1" applyAlignment="1">
      <alignment horizontal="right"/>
    </xf>
    <xf numFmtId="0" fontId="25" fillId="0" borderId="0" xfId="0" applyNumberFormat="1" applyFont="1" applyFill="1" applyAlignment="1">
      <alignment horizontal="center"/>
    </xf>
    <xf numFmtId="0" fontId="0" fillId="0" borderId="0" xfId="0" applyFill="1" applyBorder="1" applyAlignment="1">
      <alignment horizontal="left" vertical="top"/>
    </xf>
    <xf numFmtId="0" fontId="16" fillId="0" borderId="0" xfId="0" applyFont="1" applyFill="1" applyBorder="1" applyAlignment="1">
      <alignment horizontal="left" vertical="top"/>
    </xf>
    <xf numFmtId="0" fontId="0" fillId="6" borderId="1" xfId="0" applyFill="1" applyBorder="1"/>
    <xf numFmtId="0" fontId="32" fillId="0" borderId="0" xfId="0" applyFont="1" applyAlignment="1">
      <alignment horizontal="left"/>
    </xf>
    <xf numFmtId="0" fontId="17" fillId="0" borderId="0" xfId="0" applyFont="1" applyAlignment="1">
      <alignment horizontal="left" vertical="top"/>
    </xf>
    <xf numFmtId="0" fontId="0" fillId="0" borderId="0" xfId="0" applyAlignment="1">
      <alignment vertical="top"/>
    </xf>
    <xf numFmtId="0" fontId="25" fillId="0" borderId="0" xfId="0" applyFont="1" applyFill="1" applyAlignment="1">
      <alignment horizontal="right"/>
    </xf>
    <xf numFmtId="0" fontId="0" fillId="0" borderId="0" xfId="0" applyAlignment="1">
      <alignment wrapText="1"/>
    </xf>
    <xf numFmtId="0" fontId="32" fillId="0" borderId="0" xfId="0" applyFont="1"/>
    <xf numFmtId="0" fontId="32" fillId="0" borderId="0" xfId="0" applyFont="1" applyFill="1" applyBorder="1"/>
    <xf numFmtId="164" fontId="16" fillId="0" borderId="0" xfId="0" applyNumberFormat="1" applyFont="1" applyFill="1"/>
    <xf numFmtId="164" fontId="0" fillId="0" borderId="0" xfId="0" applyNumberFormat="1"/>
    <xf numFmtId="164" fontId="16" fillId="0" borderId="0" xfId="0" applyNumberFormat="1" applyFont="1"/>
    <xf numFmtId="2" fontId="15" fillId="0" borderId="0" xfId="0" applyNumberFormat="1" applyFont="1"/>
    <xf numFmtId="2" fontId="16" fillId="0" borderId="0" xfId="0" applyNumberFormat="1" applyFont="1" applyFill="1"/>
    <xf numFmtId="0" fontId="0" fillId="0" borderId="0" xfId="0" applyAlignment="1">
      <alignment horizontal="center"/>
    </xf>
    <xf numFmtId="0" fontId="33" fillId="0" borderId="0" xfId="0" applyFont="1"/>
    <xf numFmtId="164" fontId="7" fillId="0" borderId="0" xfId="0" applyNumberFormat="1" applyFont="1"/>
    <xf numFmtId="167" fontId="7" fillId="0" borderId="0" xfId="0" applyNumberFormat="1" applyFont="1"/>
    <xf numFmtId="0" fontId="15" fillId="0" borderId="0" xfId="0" applyFont="1" applyAlignment="1">
      <alignment horizontal="left"/>
    </xf>
    <xf numFmtId="0" fontId="0" fillId="0" borderId="1" xfId="0" applyBorder="1" applyProtection="1"/>
    <xf numFmtId="0" fontId="23" fillId="0" borderId="2" xfId="0" applyFont="1" applyFill="1" applyBorder="1" applyAlignment="1" applyProtection="1"/>
    <xf numFmtId="0" fontId="0" fillId="0" borderId="3" xfId="0" applyFill="1" applyBorder="1" applyAlignment="1" applyProtection="1"/>
    <xf numFmtId="0" fontId="0" fillId="0" borderId="4" xfId="0" applyFill="1" applyBorder="1" applyAlignment="1" applyProtection="1"/>
    <xf numFmtId="0" fontId="0" fillId="0" borderId="0" xfId="0" applyProtection="1"/>
    <xf numFmtId="0" fontId="17" fillId="0" borderId="0" xfId="0" applyFont="1" applyProtection="1"/>
    <xf numFmtId="0" fontId="12" fillId="0" borderId="0" xfId="0" applyFont="1" applyProtection="1"/>
    <xf numFmtId="0" fontId="2" fillId="0" borderId="0" xfId="0" applyFont="1" applyProtection="1"/>
    <xf numFmtId="0" fontId="15" fillId="0" borderId="0" xfId="0" quotePrefix="1" applyFont="1" applyProtection="1"/>
    <xf numFmtId="0" fontId="15" fillId="0" borderId="0" xfId="0" applyFont="1" applyProtection="1"/>
    <xf numFmtId="2" fontId="0" fillId="3" borderId="1" xfId="0" applyNumberFormat="1" applyFill="1" applyBorder="1" applyProtection="1"/>
    <xf numFmtId="0" fontId="0" fillId="0" borderId="0" xfId="0" applyAlignment="1" applyProtection="1">
      <alignment horizontal="right"/>
    </xf>
    <xf numFmtId="0" fontId="0" fillId="0" borderId="0" xfId="0" quotePrefix="1" applyAlignment="1" applyProtection="1">
      <alignment horizontal="right"/>
    </xf>
    <xf numFmtId="0" fontId="10" fillId="0" borderId="0" xfId="0" applyFont="1" applyProtection="1"/>
    <xf numFmtId="0" fontId="0" fillId="2" borderId="1" xfId="0" applyFill="1" applyBorder="1" applyProtection="1"/>
    <xf numFmtId="0" fontId="12" fillId="0" borderId="0" xfId="0" applyFont="1" applyAlignment="1" applyProtection="1">
      <alignment horizontal="right"/>
    </xf>
    <xf numFmtId="167" fontId="16" fillId="0" borderId="0" xfId="0" applyNumberFormat="1" applyFont="1" applyProtection="1"/>
    <xf numFmtId="0" fontId="10" fillId="0" borderId="0" xfId="0" applyFont="1" applyAlignment="1" applyProtection="1">
      <alignment horizontal="right"/>
    </xf>
    <xf numFmtId="168" fontId="11" fillId="0" borderId="0" xfId="0" applyNumberFormat="1" applyFont="1" applyProtection="1"/>
    <xf numFmtId="0" fontId="13" fillId="0" borderId="0" xfId="0" applyFont="1" applyProtection="1"/>
    <xf numFmtId="166" fontId="11" fillId="0" borderId="0" xfId="0" applyNumberFormat="1" applyFont="1" applyProtection="1"/>
    <xf numFmtId="0" fontId="0" fillId="0" borderId="0" xfId="0" applyFill="1" applyAlignment="1"/>
    <xf numFmtId="0" fontId="37" fillId="0" borderId="0" xfId="0" applyFont="1"/>
    <xf numFmtId="166" fontId="11" fillId="0" borderId="0" xfId="0" applyNumberFormat="1" applyFont="1"/>
    <xf numFmtId="0" fontId="38" fillId="0" borderId="0" xfId="0" applyFont="1"/>
    <xf numFmtId="0" fontId="40" fillId="7" borderId="1" xfId="0" applyFont="1" applyFill="1" applyBorder="1" applyProtection="1">
      <protection locked="0"/>
    </xf>
    <xf numFmtId="0" fontId="28" fillId="0" borderId="0" xfId="0" applyFont="1" applyProtection="1"/>
    <xf numFmtId="0" fontId="26" fillId="0" borderId="0" xfId="0" applyFont="1" applyProtection="1"/>
    <xf numFmtId="0" fontId="27" fillId="0" borderId="0" xfId="0" applyFont="1" applyProtection="1"/>
    <xf numFmtId="0" fontId="41" fillId="0" borderId="0" xfId="0" applyFont="1" applyProtection="1"/>
    <xf numFmtId="0" fontId="29" fillId="0" borderId="0" xfId="0" applyFont="1" applyAlignment="1" applyProtection="1">
      <alignment horizontal="right"/>
    </xf>
    <xf numFmtId="0" fontId="30" fillId="0" borderId="0" xfId="0" applyFont="1" applyProtection="1"/>
    <xf numFmtId="9" fontId="27" fillId="3" borderId="1" xfId="0" applyNumberFormat="1" applyFont="1" applyFill="1" applyBorder="1" applyProtection="1"/>
    <xf numFmtId="2" fontId="27" fillId="0" borderId="0" xfId="0" applyNumberFormat="1" applyFont="1" applyProtection="1"/>
    <xf numFmtId="2" fontId="27" fillId="3" borderId="1" xfId="0" applyNumberFormat="1" applyFont="1" applyFill="1" applyBorder="1" applyProtection="1"/>
    <xf numFmtId="1" fontId="0" fillId="0" borderId="5" xfId="0" applyNumberFormat="1" applyBorder="1" applyProtection="1"/>
    <xf numFmtId="1" fontId="0" fillId="0" borderId="6" xfId="0" applyNumberFormat="1" applyBorder="1" applyProtection="1"/>
    <xf numFmtId="1" fontId="0" fillId="0" borderId="7" xfId="0" applyNumberFormat="1" applyBorder="1" applyProtection="1"/>
    <xf numFmtId="1" fontId="0" fillId="0" borderId="8" xfId="0" applyNumberFormat="1" applyBorder="1" applyProtection="1"/>
    <xf numFmtId="1" fontId="31" fillId="0" borderId="1" xfId="0" applyNumberFormat="1" applyFont="1" applyBorder="1" applyProtection="1"/>
    <xf numFmtId="1" fontId="0" fillId="0" borderId="9" xfId="0" applyNumberFormat="1" applyBorder="1" applyProtection="1"/>
    <xf numFmtId="1" fontId="0" fillId="0" borderId="0" xfId="0" applyNumberFormat="1" applyBorder="1" applyProtection="1"/>
    <xf numFmtId="1" fontId="0" fillId="0" borderId="10" xfId="0" applyNumberFormat="1" applyBorder="1" applyProtection="1"/>
    <xf numFmtId="1" fontId="0" fillId="0" borderId="11" xfId="0" applyNumberFormat="1" applyBorder="1" applyProtection="1"/>
    <xf numFmtId="1" fontId="0" fillId="0" borderId="12" xfId="0" applyNumberFormat="1" applyBorder="1" applyProtection="1"/>
    <xf numFmtId="0" fontId="0" fillId="4" borderId="0" xfId="0" quotePrefix="1" applyFill="1" applyProtection="1"/>
    <xf numFmtId="0" fontId="0" fillId="4" borderId="0" xfId="0" applyFill="1" applyProtection="1"/>
    <xf numFmtId="1" fontId="0" fillId="4" borderId="0" xfId="0" applyNumberFormat="1" applyFill="1" applyProtection="1"/>
    <xf numFmtId="0" fontId="0" fillId="7" borderId="1" xfId="0" applyFill="1" applyBorder="1" applyProtection="1">
      <protection locked="0"/>
    </xf>
    <xf numFmtId="0" fontId="0" fillId="8" borderId="0" xfId="0" applyFill="1" applyAlignment="1">
      <alignment horizontal="center"/>
    </xf>
    <xf numFmtId="0" fontId="0" fillId="0" borderId="0" xfId="0" quotePrefix="1" applyAlignment="1">
      <alignment horizontal="center"/>
    </xf>
    <xf numFmtId="0" fontId="42" fillId="0" borderId="0" xfId="0" applyFont="1"/>
    <xf numFmtId="0" fontId="15" fillId="0" borderId="0" xfId="0" applyFont="1" applyAlignment="1">
      <alignment horizontal="right"/>
    </xf>
    <xf numFmtId="169" fontId="15" fillId="0" borderId="0" xfId="0" applyNumberFormat="1" applyFont="1"/>
    <xf numFmtId="170" fontId="15" fillId="0" borderId="0" xfId="0" applyNumberFormat="1" applyFont="1"/>
    <xf numFmtId="169" fontId="18" fillId="0" borderId="0" xfId="0" applyNumberFormat="1" applyFont="1"/>
    <xf numFmtId="170" fontId="18" fillId="0" borderId="0" xfId="0" applyNumberFormat="1" applyFont="1"/>
    <xf numFmtId="14" fontId="16" fillId="0" borderId="0" xfId="0" applyNumberFormat="1" applyFont="1"/>
    <xf numFmtId="1" fontId="16" fillId="0" borderId="0" xfId="0" applyNumberFormat="1" applyFont="1"/>
    <xf numFmtId="16" fontId="44" fillId="0" borderId="0" xfId="0" applyNumberFormat="1" applyFont="1"/>
    <xf numFmtId="1" fontId="18" fillId="0" borderId="0" xfId="0" applyNumberFormat="1" applyFont="1"/>
    <xf numFmtId="16" fontId="0" fillId="0" borderId="0" xfId="0" applyNumberFormat="1"/>
    <xf numFmtId="169" fontId="18" fillId="7" borderId="1" xfId="0" applyNumberFormat="1" applyFont="1" applyFill="1" applyBorder="1"/>
    <xf numFmtId="169" fontId="16" fillId="0" borderId="0" xfId="0" applyNumberFormat="1" applyFont="1"/>
    <xf numFmtId="169" fontId="0" fillId="0" borderId="0" xfId="0" applyNumberFormat="1"/>
    <xf numFmtId="169" fontId="0" fillId="7" borderId="1" xfId="0" applyNumberFormat="1" applyFill="1" applyBorder="1"/>
    <xf numFmtId="170" fontId="0" fillId="0" borderId="0" xfId="0" applyNumberFormat="1"/>
    <xf numFmtId="0" fontId="18" fillId="0" borderId="0" xfId="0" applyFont="1"/>
    <xf numFmtId="0" fontId="46" fillId="0" borderId="0" xfId="0" applyFont="1"/>
    <xf numFmtId="0" fontId="37" fillId="0" borderId="13" xfId="0" applyFont="1" applyFill="1" applyBorder="1" applyAlignment="1">
      <alignment horizontal="center"/>
    </xf>
    <xf numFmtId="0" fontId="0" fillId="0" borderId="0" xfId="0" applyFill="1" applyBorder="1" applyAlignment="1"/>
    <xf numFmtId="0" fontId="0" fillId="0" borderId="14" xfId="0" applyFill="1" applyBorder="1" applyAlignment="1"/>
    <xf numFmtId="0" fontId="45" fillId="0" borderId="0" xfId="1" applyAlignment="1" applyProtection="1"/>
    <xf numFmtId="0" fontId="45" fillId="0" borderId="0" xfId="1" applyFont="1" applyAlignment="1" applyProtection="1"/>
    <xf numFmtId="0" fontId="3" fillId="0" borderId="0" xfId="0" applyFont="1"/>
    <xf numFmtId="0" fontId="45" fillId="0" borderId="0" xfId="1" applyAlignment="1" applyProtection="1">
      <alignment horizontal="center"/>
    </xf>
    <xf numFmtId="1" fontId="0" fillId="7" borderId="1" xfId="0" applyNumberFormat="1" applyFill="1" applyBorder="1" applyProtection="1">
      <protection locked="0"/>
    </xf>
    <xf numFmtId="0" fontId="18" fillId="9" borderId="1" xfId="0" applyFont="1" applyFill="1" applyBorder="1" applyProtection="1">
      <protection locked="0"/>
    </xf>
    <xf numFmtId="0" fontId="45" fillId="0" borderId="0" xfId="1" applyFont="1" applyAlignment="1" applyProtection="1">
      <alignment horizontal="center"/>
    </xf>
    <xf numFmtId="0" fontId="0" fillId="9" borderId="1" xfId="0" applyFill="1" applyBorder="1" applyProtection="1">
      <protection locked="0"/>
    </xf>
    <xf numFmtId="0" fontId="0" fillId="9" borderId="15" xfId="0" applyFill="1" applyBorder="1" applyProtection="1">
      <protection locked="0"/>
    </xf>
    <xf numFmtId="168" fontId="0" fillId="0" borderId="0" xfId="0" applyNumberFormat="1"/>
    <xf numFmtId="171" fontId="0" fillId="0" borderId="0" xfId="0" applyNumberFormat="1"/>
    <xf numFmtId="2" fontId="0" fillId="9" borderId="1" xfId="0" applyNumberFormat="1" applyFill="1" applyBorder="1" applyProtection="1">
      <protection locked="0"/>
    </xf>
    <xf numFmtId="168" fontId="16" fillId="0" borderId="1" xfId="0" applyNumberFormat="1" applyFont="1" applyFill="1" applyBorder="1"/>
    <xf numFmtId="2" fontId="0" fillId="9" borderId="1" xfId="0" applyNumberFormat="1" applyFill="1" applyBorder="1" applyProtection="1"/>
    <xf numFmtId="0" fontId="0" fillId="9" borderId="15" xfId="0" applyFill="1" applyBorder="1" applyProtection="1"/>
    <xf numFmtId="0" fontId="0" fillId="9" borderId="1" xfId="0" applyFill="1" applyBorder="1" applyProtection="1"/>
    <xf numFmtId="0" fontId="50" fillId="0" borderId="0" xfId="0" applyFont="1"/>
    <xf numFmtId="168" fontId="16" fillId="0" borderId="0" xfId="0" applyNumberFormat="1" applyFont="1"/>
    <xf numFmtId="168" fontId="16" fillId="0" borderId="0" xfId="0" applyNumberFormat="1" applyFont="1" applyFill="1" applyBorder="1"/>
    <xf numFmtId="0" fontId="49" fillId="0" borderId="0" xfId="0" applyFont="1" applyFill="1" applyBorder="1" applyAlignment="1">
      <alignment wrapText="1"/>
    </xf>
    <xf numFmtId="0" fontId="0" fillId="0" borderId="0" xfId="0" applyFill="1" applyBorder="1" applyAlignment="1">
      <alignment horizontal="left" vertical="center" wrapText="1"/>
    </xf>
    <xf numFmtId="0" fontId="0" fillId="0" borderId="0" xfId="0" applyFill="1"/>
    <xf numFmtId="168" fontId="16" fillId="0" borderId="0" xfId="0" applyNumberFormat="1" applyFont="1" applyFill="1" applyBorder="1" applyAlignment="1"/>
    <xf numFmtId="168" fontId="0" fillId="0" borderId="0" xfId="0" applyNumberFormat="1" applyFill="1" applyBorder="1" applyAlignment="1"/>
    <xf numFmtId="0" fontId="49" fillId="0" borderId="0" xfId="0" applyFont="1" applyFill="1" applyBorder="1" applyAlignment="1"/>
    <xf numFmtId="167" fontId="0" fillId="0" borderId="0" xfId="0" applyNumberFormat="1"/>
    <xf numFmtId="0" fontId="0" fillId="0" borderId="0" xfId="0" applyBorder="1" applyAlignment="1"/>
    <xf numFmtId="0" fontId="15" fillId="0" borderId="0" xfId="0" applyFont="1" applyBorder="1" applyAlignment="1">
      <alignment horizontal="center"/>
    </xf>
    <xf numFmtId="0" fontId="15" fillId="0" borderId="0" xfId="0" applyFont="1" applyFill="1" applyBorder="1" applyAlignment="1">
      <alignment horizontal="center" vertical="center"/>
    </xf>
    <xf numFmtId="0" fontId="15" fillId="0" borderId="0" xfId="0" applyFont="1" applyFill="1" applyBorder="1" applyAlignment="1">
      <alignment horizontal="center"/>
    </xf>
    <xf numFmtId="0" fontId="15" fillId="0" borderId="0" xfId="0" applyFont="1" applyFill="1" applyBorder="1" applyAlignment="1"/>
    <xf numFmtId="2" fontId="0" fillId="0" borderId="0" xfId="0" applyNumberFormat="1" applyFill="1" applyBorder="1" applyAlignment="1" applyProtection="1"/>
    <xf numFmtId="0" fontId="0" fillId="0" borderId="0" xfId="0" applyFill="1" applyBorder="1" applyAlignment="1" applyProtection="1"/>
    <xf numFmtId="171" fontId="0" fillId="0" borderId="0" xfId="0" applyNumberFormat="1" applyFill="1" applyBorder="1" applyAlignment="1"/>
    <xf numFmtId="2" fontId="0" fillId="0" borderId="0" xfId="0" applyNumberFormat="1" applyFill="1" applyBorder="1" applyAlignment="1"/>
    <xf numFmtId="0" fontId="15" fillId="0" borderId="0" xfId="0" applyFont="1" applyBorder="1" applyAlignment="1">
      <alignment horizontal="center" wrapText="1"/>
    </xf>
    <xf numFmtId="0" fontId="0" fillId="0" borderId="0" xfId="0" applyFill="1" applyBorder="1" applyAlignment="1">
      <alignment horizontal="right"/>
    </xf>
    <xf numFmtId="0" fontId="36" fillId="0" borderId="0" xfId="0" applyFont="1" applyFill="1" applyBorder="1" applyAlignment="1">
      <alignment wrapText="1"/>
    </xf>
    <xf numFmtId="0" fontId="0" fillId="0" borderId="0" xfId="0" applyBorder="1"/>
    <xf numFmtId="0" fontId="0" fillId="0" borderId="0" xfId="0" applyBorder="1" applyAlignment="1">
      <alignment horizontal="left" vertical="center" wrapText="1"/>
    </xf>
    <xf numFmtId="0" fontId="36" fillId="0" borderId="6" xfId="0" applyFont="1" applyFill="1" applyBorder="1" applyAlignment="1">
      <alignment wrapText="1"/>
    </xf>
    <xf numFmtId="0" fontId="46" fillId="0" borderId="0" xfId="1" applyFont="1" applyAlignment="1" applyProtection="1">
      <alignment horizontal="center"/>
    </xf>
    <xf numFmtId="164" fontId="1" fillId="10" borderId="15" xfId="0" applyNumberFormat="1" applyFont="1" applyFill="1" applyBorder="1" applyProtection="1"/>
    <xf numFmtId="0" fontId="44" fillId="0" borderId="0" xfId="0" applyFont="1" applyAlignment="1">
      <alignment horizontal="center"/>
    </xf>
    <xf numFmtId="164" fontId="18" fillId="0" borderId="0" xfId="0" applyNumberFormat="1" applyFont="1"/>
    <xf numFmtId="0" fontId="16" fillId="0" borderId="0" xfId="0" applyFont="1" applyAlignment="1">
      <alignment horizontal="right"/>
    </xf>
    <xf numFmtId="0" fontId="0" fillId="3" borderId="0" xfId="0" applyFill="1"/>
    <xf numFmtId="0" fontId="37" fillId="3" borderId="13" xfId="0" applyFont="1" applyFill="1" applyBorder="1" applyAlignment="1">
      <alignment horizontal="center"/>
    </xf>
    <xf numFmtId="0" fontId="0" fillId="3" borderId="0" xfId="0" applyFill="1" applyBorder="1" applyAlignment="1"/>
    <xf numFmtId="0" fontId="0" fillId="3" borderId="14" xfId="0" applyFill="1" applyBorder="1" applyAlignment="1"/>
    <xf numFmtId="0" fontId="18" fillId="0" borderId="0" xfId="0" applyFont="1" applyFill="1"/>
    <xf numFmtId="0" fontId="0" fillId="0" borderId="0" xfId="0" applyFill="1" applyBorder="1"/>
    <xf numFmtId="0" fontId="36"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45" fillId="0" borderId="0" xfId="1" applyFill="1" applyAlignment="1" applyProtection="1"/>
    <xf numFmtId="0" fontId="32" fillId="0" borderId="0" xfId="0" quotePrefix="1" applyFont="1"/>
    <xf numFmtId="0" fontId="52" fillId="0" borderId="0" xfId="0" applyFont="1"/>
    <xf numFmtId="0" fontId="0" fillId="9" borderId="0" xfId="0" applyFill="1" applyAlignment="1">
      <alignment horizontal="center" vertical="center" wrapText="1"/>
    </xf>
    <xf numFmtId="0" fontId="53" fillId="9" borderId="0" xfId="0" applyFont="1" applyFill="1" applyAlignment="1">
      <alignment horizontal="center" vertical="center" wrapText="1"/>
    </xf>
    <xf numFmtId="0" fontId="0" fillId="0" borderId="1" xfId="0" applyFill="1" applyBorder="1"/>
    <xf numFmtId="167" fontId="54" fillId="0" borderId="0" xfId="0" applyNumberFormat="1" applyFont="1"/>
    <xf numFmtId="0" fontId="55" fillId="0" borderId="0" xfId="0" applyFont="1"/>
    <xf numFmtId="0" fontId="55" fillId="0" borderId="0" xfId="0" quotePrefix="1" applyFont="1"/>
    <xf numFmtId="0" fontId="16" fillId="0" borderId="1" xfId="0" applyFont="1" applyBorder="1"/>
    <xf numFmtId="0" fontId="43" fillId="9" borderId="0" xfId="0" applyFont="1" applyFill="1" applyAlignment="1">
      <alignment horizontal="center" vertical="center" wrapText="1"/>
    </xf>
    <xf numFmtId="0" fontId="18" fillId="0" borderId="4" xfId="0" applyFont="1" applyBorder="1" applyAlignment="1">
      <alignment horizontal="right"/>
    </xf>
    <xf numFmtId="0" fontId="57" fillId="0" borderId="0" xfId="0" applyFont="1" applyBorder="1"/>
    <xf numFmtId="0" fontId="34" fillId="0" borderId="0" xfId="0" applyFont="1"/>
    <xf numFmtId="0" fontId="58" fillId="0" borderId="0" xfId="0" applyFont="1"/>
    <xf numFmtId="0" fontId="59" fillId="0" borderId="0" xfId="0" applyFont="1"/>
    <xf numFmtId="0" fontId="60" fillId="0" borderId="0" xfId="0" applyFont="1"/>
    <xf numFmtId="2" fontId="58" fillId="3" borderId="1" xfId="0" applyNumberFormat="1" applyFont="1" applyFill="1" applyBorder="1"/>
    <xf numFmtId="2" fontId="58" fillId="0" borderId="0" xfId="0" applyNumberFormat="1" applyFont="1"/>
    <xf numFmtId="0" fontId="61" fillId="0" borderId="0" xfId="0" applyFont="1"/>
    <xf numFmtId="166" fontId="16" fillId="0" borderId="0" xfId="0" applyNumberFormat="1" applyFont="1"/>
    <xf numFmtId="0" fontId="15" fillId="7" borderId="1" xfId="0" applyFont="1" applyFill="1" applyBorder="1" applyProtection="1">
      <protection locked="0"/>
    </xf>
    <xf numFmtId="0" fontId="12" fillId="0" borderId="0" xfId="0" applyFont="1" applyAlignment="1">
      <alignment horizontal="right"/>
    </xf>
    <xf numFmtId="172" fontId="11" fillId="0" borderId="0" xfId="0" applyNumberFormat="1" applyFont="1"/>
    <xf numFmtId="1" fontId="11" fillId="0" borderId="0" xfId="0" applyNumberFormat="1" applyFont="1"/>
    <xf numFmtId="171" fontId="16" fillId="0" borderId="0" xfId="0" applyNumberFormat="1" applyFont="1"/>
    <xf numFmtId="2" fontId="18" fillId="0" borderId="0" xfId="0" applyNumberFormat="1" applyFont="1" applyAlignment="1">
      <alignment horizontal="right"/>
    </xf>
    <xf numFmtId="0" fontId="61" fillId="0" borderId="0" xfId="0" applyFont="1" applyAlignment="1">
      <alignment horizontal="right"/>
    </xf>
    <xf numFmtId="2" fontId="61" fillId="0" borderId="0" xfId="0" applyNumberFormat="1" applyFont="1" applyFill="1"/>
    <xf numFmtId="0" fontId="64" fillId="0" borderId="0" xfId="0" applyFont="1" applyAlignment="1">
      <alignment horizontal="right"/>
    </xf>
    <xf numFmtId="172" fontId="16" fillId="0" borderId="0" xfId="0" applyNumberFormat="1" applyFont="1"/>
    <xf numFmtId="0" fontId="0" fillId="0" borderId="0" xfId="0" applyAlignment="1" applyProtection="1"/>
    <xf numFmtId="0" fontId="53" fillId="0" borderId="0" xfId="0" applyFont="1" applyFill="1" applyBorder="1" applyAlignment="1">
      <alignment horizontal="center" wrapText="1"/>
    </xf>
    <xf numFmtId="0" fontId="0" fillId="0" borderId="0" xfId="0" applyFill="1" applyBorder="1" applyAlignment="1">
      <alignment horizontal="center"/>
    </xf>
    <xf numFmtId="0" fontId="15" fillId="3" borderId="1" xfId="0" applyFont="1" applyFill="1" applyBorder="1" applyAlignment="1">
      <alignment horizontal="center"/>
    </xf>
    <xf numFmtId="0" fontId="0" fillId="11" borderId="1" xfId="0" applyFill="1" applyBorder="1"/>
    <xf numFmtId="0" fontId="0" fillId="12" borderId="1" xfId="0" applyFill="1" applyBorder="1"/>
    <xf numFmtId="167" fontId="53" fillId="0" borderId="0" xfId="0" applyNumberFormat="1" applyFont="1" applyFill="1" applyBorder="1" applyAlignment="1">
      <alignment horizontal="center" wrapText="1"/>
    </xf>
    <xf numFmtId="167" fontId="15" fillId="3" borderId="1" xfId="0" applyNumberFormat="1" applyFont="1" applyFill="1" applyBorder="1" applyAlignment="1">
      <alignment horizontal="center"/>
    </xf>
    <xf numFmtId="167" fontId="0" fillId="11" borderId="1" xfId="0" applyNumberFormat="1" applyFill="1" applyBorder="1"/>
    <xf numFmtId="167" fontId="0" fillId="6" borderId="1" xfId="0" applyNumberFormat="1" applyFill="1" applyBorder="1"/>
    <xf numFmtId="167" fontId="0" fillId="12" borderId="1" xfId="0" applyNumberFormat="1" applyFill="1" applyBorder="1"/>
    <xf numFmtId="0" fontId="0" fillId="0" borderId="0" xfId="0" applyAlignment="1" applyProtection="1">
      <alignment horizontal="center"/>
    </xf>
    <xf numFmtId="0" fontId="0" fillId="0" borderId="0" xfId="0" applyFont="1" applyFill="1" applyBorder="1" applyAlignment="1" applyProtection="1">
      <alignment horizontal="center" textRotation="90"/>
    </xf>
    <xf numFmtId="0" fontId="0" fillId="0" borderId="0" xfId="0" applyFont="1" applyFill="1" applyBorder="1" applyAlignment="1" applyProtection="1">
      <alignment horizontal="center"/>
    </xf>
    <xf numFmtId="0" fontId="0" fillId="0" borderId="0" xfId="0" applyFont="1" applyFill="1" applyBorder="1" applyAlignment="1" applyProtection="1"/>
    <xf numFmtId="0" fontId="0" fillId="0" borderId="0" xfId="0" applyFill="1" applyAlignment="1" applyProtection="1"/>
    <xf numFmtId="0" fontId="0" fillId="0" borderId="0" xfId="0" applyFill="1" applyProtection="1"/>
    <xf numFmtId="9" fontId="0" fillId="0" borderId="0" xfId="0" applyNumberFormat="1" applyFont="1" applyFill="1" applyBorder="1" applyAlignment="1" applyProtection="1">
      <alignment horizontal="center"/>
    </xf>
    <xf numFmtId="0" fontId="0" fillId="0" borderId="0" xfId="0" applyFill="1" applyBorder="1" applyAlignment="1" applyProtection="1">
      <alignment horizontal="right"/>
    </xf>
    <xf numFmtId="2" fontId="0" fillId="13" borderId="1" xfId="0" applyNumberFormat="1" applyFont="1" applyFill="1" applyBorder="1" applyAlignment="1" applyProtection="1">
      <protection locked="0"/>
    </xf>
    <xf numFmtId="165" fontId="0" fillId="0" borderId="0" xfId="0" applyNumberFormat="1" applyFont="1" applyFill="1" applyBorder="1" applyAlignment="1" applyProtection="1">
      <alignment horizontal="center"/>
    </xf>
    <xf numFmtId="0" fontId="55" fillId="0" borderId="0" xfId="0" applyFont="1" applyFill="1" applyBorder="1" applyAlignment="1" applyProtection="1">
      <alignment horizontal="center"/>
    </xf>
    <xf numFmtId="0" fontId="55" fillId="0" borderId="0" xfId="0" applyFont="1" applyProtection="1"/>
    <xf numFmtId="0" fontId="55" fillId="0" borderId="0" xfId="0" applyFont="1" applyAlignment="1" applyProtection="1">
      <alignment horizontal="center"/>
    </xf>
    <xf numFmtId="165" fontId="55" fillId="0" borderId="0" xfId="0" applyNumberFormat="1" applyFont="1" applyFill="1" applyBorder="1" applyAlignment="1" applyProtection="1">
      <alignment horizontal="center"/>
    </xf>
    <xf numFmtId="0" fontId="55" fillId="0" borderId="0" xfId="0" applyFont="1" applyFill="1" applyBorder="1" applyAlignment="1" applyProtection="1"/>
    <xf numFmtId="0" fontId="0" fillId="0" borderId="0" xfId="0" applyFont="1" applyBorder="1" applyAlignment="1" applyProtection="1"/>
    <xf numFmtId="0" fontId="18" fillId="0" borderId="0" xfId="0" applyFont="1" applyAlignment="1" applyProtection="1">
      <alignment horizontal="center"/>
    </xf>
    <xf numFmtId="0" fontId="18" fillId="0" borderId="0" xfId="0" applyFont="1" applyFill="1" applyBorder="1" applyAlignment="1" applyProtection="1"/>
    <xf numFmtId="0" fontId="18" fillId="0" borderId="0" xfId="0" applyFont="1" applyProtection="1"/>
    <xf numFmtId="0" fontId="15" fillId="0" borderId="0" xfId="0" applyFont="1" applyAlignment="1">
      <alignment wrapText="1"/>
    </xf>
    <xf numFmtId="0" fontId="78" fillId="0" borderId="0" xfId="0" applyFont="1"/>
    <xf numFmtId="0" fontId="79" fillId="0" borderId="0" xfId="0" applyFont="1" applyAlignment="1" applyProtection="1">
      <alignment horizontal="center"/>
      <protection hidden="1"/>
    </xf>
    <xf numFmtId="167" fontId="39" fillId="0" borderId="19" xfId="0" applyNumberFormat="1" applyFont="1" applyBorder="1" applyAlignment="1" applyProtection="1">
      <alignment horizontal="center"/>
      <protection hidden="1"/>
    </xf>
    <xf numFmtId="167" fontId="18" fillId="0" borderId="19" xfId="0" applyNumberFormat="1" applyFont="1" applyBorder="1" applyAlignment="1" applyProtection="1">
      <alignment horizontal="center"/>
      <protection hidden="1"/>
    </xf>
    <xf numFmtId="0" fontId="80" fillId="0" borderId="19" xfId="0" quotePrefix="1" applyFont="1" applyBorder="1" applyAlignment="1" applyProtection="1">
      <alignment horizontal="center"/>
      <protection hidden="1"/>
    </xf>
    <xf numFmtId="0" fontId="79" fillId="0" borderId="19" xfId="0" applyFont="1" applyBorder="1" applyAlignment="1" applyProtection="1">
      <alignment horizontal="center"/>
      <protection hidden="1"/>
    </xf>
    <xf numFmtId="0" fontId="0" fillId="7" borderId="19" xfId="0" applyFill="1" applyBorder="1" applyAlignment="1" applyProtection="1">
      <alignment horizontal="center"/>
      <protection locked="0"/>
    </xf>
    <xf numFmtId="0" fontId="0" fillId="0" borderId="0" xfId="0" applyAlignment="1"/>
    <xf numFmtId="2" fontId="0" fillId="0" borderId="0" xfId="0" applyNumberFormat="1" applyProtection="1"/>
    <xf numFmtId="0" fontId="15" fillId="0" borderId="0" xfId="0" applyFont="1" applyAlignment="1" applyProtection="1">
      <alignment horizontal="center"/>
    </xf>
    <xf numFmtId="2" fontId="15" fillId="0" borderId="0" xfId="0" applyNumberFormat="1" applyFont="1" applyAlignment="1" applyProtection="1">
      <alignment horizontal="center"/>
    </xf>
    <xf numFmtId="0" fontId="0" fillId="17" borderId="0" xfId="0" applyFill="1" applyBorder="1" applyProtection="1"/>
    <xf numFmtId="0" fontId="0" fillId="0" borderId="19" xfId="0" applyBorder="1" applyProtection="1"/>
    <xf numFmtId="0" fontId="38" fillId="0" borderId="19" xfId="0" applyFont="1" applyBorder="1" applyProtection="1"/>
    <xf numFmtId="0" fontId="0" fillId="4" borderId="19" xfId="0" applyFill="1" applyBorder="1" applyProtection="1"/>
    <xf numFmtId="0" fontId="15" fillId="0" borderId="19" xfId="0" applyFont="1" applyBorder="1" applyProtection="1"/>
    <xf numFmtId="0" fontId="15" fillId="0" borderId="19" xfId="0" applyFont="1" applyBorder="1" applyAlignment="1" applyProtection="1">
      <alignment horizontal="center"/>
    </xf>
    <xf numFmtId="2" fontId="15" fillId="0" borderId="19" xfId="0" applyNumberFormat="1" applyFont="1" applyBorder="1" applyAlignment="1" applyProtection="1">
      <alignment horizontal="center"/>
    </xf>
    <xf numFmtId="0" fontId="15" fillId="4" borderId="19" xfId="0" applyFont="1" applyFill="1" applyBorder="1" applyProtection="1"/>
    <xf numFmtId="0" fontId="18" fillId="0" borderId="19" xfId="0" applyFont="1" applyBorder="1" applyAlignment="1" applyProtection="1">
      <alignment horizontal="center"/>
    </xf>
    <xf numFmtId="168" fontId="18" fillId="17" borderId="19" xfId="0" applyNumberFormat="1" applyFont="1" applyFill="1" applyBorder="1" applyAlignment="1" applyProtection="1">
      <alignment horizontal="center"/>
    </xf>
    <xf numFmtId="0" fontId="18" fillId="4" borderId="19" xfId="0" applyFont="1" applyFill="1" applyBorder="1" applyAlignment="1" applyProtection="1">
      <alignment horizontal="center"/>
    </xf>
    <xf numFmtId="0" fontId="18" fillId="0" borderId="19" xfId="0" applyFont="1" applyBorder="1" applyProtection="1"/>
    <xf numFmtId="0" fontId="0" fillId="17" borderId="19" xfId="0" applyFill="1" applyBorder="1" applyAlignment="1" applyProtection="1">
      <alignment horizontal="center"/>
    </xf>
    <xf numFmtId="0" fontId="18" fillId="17" borderId="19" xfId="0" applyFont="1" applyFill="1" applyBorder="1" applyAlignment="1" applyProtection="1">
      <alignment horizontal="center"/>
    </xf>
    <xf numFmtId="0" fontId="16" fillId="0" borderId="19" xfId="0" applyFont="1" applyBorder="1" applyAlignment="1" applyProtection="1">
      <alignment horizontal="center"/>
    </xf>
    <xf numFmtId="168" fontId="81" fillId="17" borderId="19" xfId="0" applyNumberFormat="1" applyFont="1" applyFill="1" applyBorder="1" applyAlignment="1" applyProtection="1">
      <alignment horizontal="center"/>
    </xf>
    <xf numFmtId="168" fontId="18" fillId="0" borderId="19" xfId="0" applyNumberFormat="1" applyFont="1" applyBorder="1" applyProtection="1"/>
    <xf numFmtId="0" fontId="18" fillId="18" borderId="19" xfId="0" applyFont="1" applyFill="1" applyBorder="1" applyProtection="1">
      <protection locked="0"/>
    </xf>
    <xf numFmtId="2" fontId="18" fillId="13" borderId="1" xfId="0" applyNumberFormat="1" applyFont="1" applyFill="1" applyBorder="1" applyAlignment="1" applyProtection="1">
      <protection locked="0"/>
    </xf>
    <xf numFmtId="0" fontId="82" fillId="0" borderId="0" xfId="0" applyFont="1"/>
    <xf numFmtId="0" fontId="15" fillId="0" borderId="0" xfId="0" applyFont="1" applyFill="1" applyAlignment="1"/>
    <xf numFmtId="2" fontId="81" fillId="0" borderId="0" xfId="0" applyNumberFormat="1" applyFont="1"/>
    <xf numFmtId="0" fontId="17" fillId="0" borderId="8" xfId="0" applyFont="1" applyBorder="1" applyAlignment="1">
      <alignment horizontal="left"/>
    </xf>
    <xf numFmtId="166" fontId="81" fillId="0" borderId="0" xfId="0" applyNumberFormat="1" applyFont="1"/>
    <xf numFmtId="0" fontId="12" fillId="0" borderId="0" xfId="0" applyFont="1" applyAlignment="1"/>
    <xf numFmtId="0" fontId="81" fillId="0" borderId="0" xfId="0" applyFont="1" applyAlignment="1">
      <alignment horizontal="left" vertical="top" wrapText="1"/>
    </xf>
    <xf numFmtId="2" fontId="0" fillId="13" borderId="1" xfId="0" applyNumberFormat="1" applyFont="1" applyFill="1" applyBorder="1" applyAlignment="1" applyProtection="1"/>
    <xf numFmtId="0" fontId="0" fillId="18" borderId="1" xfId="0" applyFill="1" applyBorder="1" applyAlignment="1" applyProtection="1">
      <protection locked="0"/>
    </xf>
    <xf numFmtId="0" fontId="83" fillId="0" borderId="0" xfId="0" applyFont="1" applyAlignment="1">
      <alignment horizontal="right"/>
    </xf>
    <xf numFmtId="0" fontId="83" fillId="0" borderId="0" xfId="0" applyFont="1" applyAlignment="1">
      <alignment horizontal="left"/>
    </xf>
    <xf numFmtId="0" fontId="0" fillId="0" borderId="0" xfId="0" quotePrefix="1" applyAlignment="1">
      <alignment horizontal="right"/>
    </xf>
    <xf numFmtId="0" fontId="84" fillId="0" borderId="0" xfId="0" applyFont="1" applyAlignment="1">
      <alignment horizontal="right"/>
    </xf>
    <xf numFmtId="0" fontId="85" fillId="0" borderId="0" xfId="0" applyFont="1"/>
    <xf numFmtId="0" fontId="86" fillId="0" borderId="0" xfId="0" applyFont="1" applyAlignment="1">
      <alignment horizontal="right"/>
    </xf>
    <xf numFmtId="0" fontId="85" fillId="0" borderId="0" xfId="0" applyFont="1" applyAlignment="1">
      <alignment horizontal="right"/>
    </xf>
    <xf numFmtId="0" fontId="85" fillId="0" borderId="0" xfId="0" applyFont="1" applyAlignment="1"/>
    <xf numFmtId="0" fontId="84" fillId="0" borderId="0" xfId="0" applyFont="1" applyAlignment="1"/>
    <xf numFmtId="165" fontId="61" fillId="0" borderId="0" xfId="0" applyNumberFormat="1" applyFont="1"/>
    <xf numFmtId="2" fontId="87" fillId="0" borderId="0" xfId="0" applyNumberFormat="1" applyFont="1" applyFill="1"/>
    <xf numFmtId="165" fontId="87" fillId="0" borderId="0" xfId="0" applyNumberFormat="1" applyFont="1" applyFill="1"/>
    <xf numFmtId="0" fontId="73" fillId="0" borderId="0" xfId="0" applyFont="1"/>
    <xf numFmtId="171" fontId="16" fillId="0" borderId="0" xfId="0" applyNumberFormat="1" applyFont="1" applyFill="1"/>
    <xf numFmtId="0" fontId="88" fillId="0" borderId="0" xfId="0" applyFont="1"/>
    <xf numFmtId="0" fontId="89" fillId="0" borderId="0" xfId="0" applyFont="1"/>
    <xf numFmtId="0" fontId="89" fillId="0" borderId="0" xfId="0" applyFont="1" applyAlignment="1">
      <alignment horizontal="right"/>
    </xf>
    <xf numFmtId="2" fontId="89" fillId="0" borderId="0" xfId="0" applyNumberFormat="1" applyFont="1" applyFill="1"/>
    <xf numFmtId="0" fontId="18" fillId="0" borderId="0" xfId="0" applyFont="1" applyAlignment="1">
      <alignment horizontal="right"/>
    </xf>
    <xf numFmtId="0" fontId="10" fillId="19" borderId="0" xfId="0" applyFont="1" applyFill="1" applyAlignment="1">
      <alignment horizontal="right"/>
    </xf>
    <xf numFmtId="2" fontId="16" fillId="19" borderId="0" xfId="0" applyNumberFormat="1" applyFont="1" applyFill="1"/>
    <xf numFmtId="0" fontId="0" fillId="19" borderId="0" xfId="0" applyFill="1"/>
    <xf numFmtId="2" fontId="18" fillId="19" borderId="0" xfId="0" applyNumberFormat="1" applyFont="1" applyFill="1" applyAlignment="1">
      <alignment horizontal="right"/>
    </xf>
    <xf numFmtId="0" fontId="90" fillId="0" borderId="0" xfId="0" applyFont="1" applyAlignment="1">
      <alignment horizontal="right"/>
    </xf>
    <xf numFmtId="0" fontId="91" fillId="0" borderId="0" xfId="0" applyFont="1" applyAlignment="1">
      <alignment horizontal="right"/>
    </xf>
    <xf numFmtId="0" fontId="92" fillId="0" borderId="0" xfId="0" applyFont="1" applyAlignment="1">
      <alignment horizontal="right"/>
    </xf>
    <xf numFmtId="173" fontId="16" fillId="0" borderId="0" xfId="0" applyNumberFormat="1" applyFont="1" applyAlignment="1"/>
    <xf numFmtId="0" fontId="0" fillId="20" borderId="1" xfId="0" applyFill="1" applyBorder="1" applyProtection="1"/>
    <xf numFmtId="0" fontId="92" fillId="0" borderId="0" xfId="0" applyFont="1"/>
    <xf numFmtId="0" fontId="93" fillId="0" borderId="0" xfId="0" applyFont="1"/>
    <xf numFmtId="0" fontId="81" fillId="0" borderId="0" xfId="0" applyFont="1"/>
    <xf numFmtId="171" fontId="81" fillId="0" borderId="0" xfId="0" applyNumberFormat="1" applyFont="1"/>
    <xf numFmtId="0" fontId="81" fillId="0" borderId="0" xfId="0" applyFont="1" applyAlignment="1">
      <alignment horizontal="right"/>
    </xf>
    <xf numFmtId="0" fontId="0" fillId="4" borderId="0" xfId="0" applyFill="1" applyAlignment="1"/>
    <xf numFmtId="0" fontId="18" fillId="0" borderId="0" xfId="0" applyFont="1" applyAlignment="1">
      <alignment horizontal="left"/>
    </xf>
    <xf numFmtId="0" fontId="10" fillId="0" borderId="0" xfId="0" applyFont="1" applyFill="1" applyAlignment="1">
      <alignment horizontal="right"/>
    </xf>
    <xf numFmtId="0" fontId="18" fillId="0" borderId="0" xfId="0" quotePrefix="1" applyFont="1" applyAlignment="1">
      <alignment horizontal="center"/>
    </xf>
    <xf numFmtId="0" fontId="94" fillId="0" borderId="0" xfId="0" applyFont="1" applyAlignment="1">
      <alignment horizontal="center"/>
    </xf>
    <xf numFmtId="0" fontId="81" fillId="0" borderId="0" xfId="0" applyFont="1" applyAlignment="1">
      <alignment horizontal="center"/>
    </xf>
    <xf numFmtId="0" fontId="94" fillId="0" borderId="0" xfId="0" applyFont="1" applyAlignment="1">
      <alignment horizontal="center" wrapText="1"/>
    </xf>
    <xf numFmtId="0" fontId="0" fillId="21" borderId="1" xfId="0" applyFill="1" applyBorder="1" applyProtection="1"/>
    <xf numFmtId="0" fontId="93" fillId="0" borderId="0" xfId="0" applyFont="1" applyProtection="1"/>
    <xf numFmtId="0" fontId="74" fillId="0" borderId="0" xfId="0" applyFont="1" applyFill="1" applyBorder="1" applyProtection="1"/>
    <xf numFmtId="169" fontId="74" fillId="7" borderId="1" xfId="0" applyNumberFormat="1" applyFont="1" applyFill="1" applyBorder="1"/>
    <xf numFmtId="169" fontId="81" fillId="7" borderId="1" xfId="0" applyNumberFormat="1" applyFont="1" applyFill="1" applyBorder="1"/>
    <xf numFmtId="0" fontId="74" fillId="0" borderId="0" xfId="0" applyFont="1"/>
    <xf numFmtId="168" fontId="0" fillId="22" borderId="1" xfId="0" applyNumberFormat="1" applyFill="1" applyBorder="1" applyProtection="1">
      <protection locked="0"/>
    </xf>
    <xf numFmtId="0" fontId="0" fillId="22" borderId="15" xfId="0" applyFill="1" applyBorder="1" applyProtection="1">
      <protection locked="0"/>
    </xf>
    <xf numFmtId="0" fontId="0" fillId="22" borderId="1" xfId="0" applyFill="1" applyBorder="1" applyProtection="1">
      <protection locked="0"/>
    </xf>
    <xf numFmtId="1" fontId="0" fillId="22" borderId="1" xfId="0" applyNumberFormat="1" applyFill="1" applyBorder="1" applyProtection="1">
      <protection locked="0"/>
    </xf>
    <xf numFmtId="0" fontId="74" fillId="0" borderId="0" xfId="0" applyFont="1" applyAlignment="1">
      <alignment horizontal="right"/>
    </xf>
    <xf numFmtId="0" fontId="0" fillId="23" borderId="1" xfId="0" applyFill="1" applyBorder="1"/>
    <xf numFmtId="0" fontId="17" fillId="23" borderId="1" xfId="0" applyFont="1" applyFill="1" applyBorder="1" applyAlignment="1">
      <alignment horizontal="left"/>
    </xf>
    <xf numFmtId="0" fontId="0" fillId="24" borderId="1" xfId="0" applyFill="1" applyBorder="1" applyProtection="1">
      <protection locked="0"/>
    </xf>
    <xf numFmtId="0" fontId="0" fillId="24" borderId="1" xfId="0" applyFill="1" applyBorder="1"/>
    <xf numFmtId="0" fontId="15" fillId="0" borderId="0" xfId="0" applyFont="1" applyAlignment="1">
      <alignment horizontal="center" wrapText="1"/>
    </xf>
    <xf numFmtId="0" fontId="76" fillId="0" borderId="16" xfId="0" applyNumberFormat="1" applyFont="1" applyBorder="1" applyAlignment="1">
      <alignment wrapText="1"/>
    </xf>
    <xf numFmtId="0" fontId="76" fillId="0" borderId="16" xfId="0" applyNumberFormat="1" applyFont="1" applyFill="1" applyBorder="1" applyAlignment="1">
      <alignment horizontal="center" wrapText="1"/>
    </xf>
    <xf numFmtId="0" fontId="76" fillId="0" borderId="16" xfId="0" applyNumberFormat="1" applyFont="1" applyBorder="1" applyAlignment="1">
      <alignment horizontal="center" wrapText="1"/>
    </xf>
    <xf numFmtId="9" fontId="76" fillId="0" borderId="16" xfId="0" applyNumberFormat="1" applyFont="1" applyFill="1" applyBorder="1" applyAlignment="1">
      <alignment horizontal="center" wrapText="1"/>
    </xf>
    <xf numFmtId="0" fontId="76" fillId="0" borderId="16" xfId="0" applyFont="1" applyBorder="1" applyAlignment="1">
      <alignment horizontal="center" wrapText="1"/>
    </xf>
    <xf numFmtId="0" fontId="77" fillId="0" borderId="15" xfId="0" applyFont="1" applyBorder="1"/>
    <xf numFmtId="3" fontId="77" fillId="15" borderId="15" xfId="0" applyNumberFormat="1" applyFont="1" applyFill="1" applyBorder="1" applyAlignment="1">
      <alignment horizontal="center"/>
    </xf>
    <xf numFmtId="4" fontId="77" fillId="15" borderId="15" xfId="0" applyNumberFormat="1" applyFont="1" applyFill="1" applyBorder="1" applyAlignment="1">
      <alignment horizontal="center"/>
    </xf>
    <xf numFmtId="2" fontId="77" fillId="0" borderId="15" xfId="0" applyNumberFormat="1" applyFont="1" applyBorder="1" applyAlignment="1">
      <alignment horizontal="center"/>
    </xf>
    <xf numFmtId="1" fontId="15" fillId="0" borderId="0" xfId="0" applyNumberFormat="1" applyFont="1"/>
    <xf numFmtId="0" fontId="0" fillId="0" borderId="20" xfId="0" applyFill="1" applyBorder="1" applyAlignment="1" applyProtection="1"/>
    <xf numFmtId="0" fontId="95" fillId="17" borderId="21" xfId="0" applyFont="1" applyFill="1" applyBorder="1" applyAlignment="1">
      <alignment horizontal="right"/>
    </xf>
    <xf numFmtId="0" fontId="15" fillId="0" borderId="0" xfId="0" applyFont="1" applyAlignment="1"/>
    <xf numFmtId="0" fontId="96" fillId="0" borderId="0" xfId="0" applyFont="1" applyAlignment="1">
      <alignment horizontal="center"/>
    </xf>
    <xf numFmtId="0" fontId="96" fillId="0" borderId="0" xfId="0" applyFont="1"/>
    <xf numFmtId="1" fontId="15" fillId="0" borderId="0" xfId="0" applyNumberFormat="1" applyFont="1" applyAlignment="1">
      <alignment horizontal="center" wrapText="1"/>
    </xf>
    <xf numFmtId="0" fontId="0" fillId="20" borderId="1" xfId="0" applyFill="1" applyBorder="1" applyProtection="1">
      <protection locked="0"/>
    </xf>
    <xf numFmtId="0" fontId="0" fillId="0" borderId="1" xfId="0" applyBorder="1"/>
    <xf numFmtId="0" fontId="95" fillId="0" borderId="0" xfId="0" applyFont="1"/>
    <xf numFmtId="0" fontId="18" fillId="0" borderId="1" xfId="0" applyFont="1" applyBorder="1"/>
    <xf numFmtId="0" fontId="103" fillId="0" borderId="0" xfId="0" applyFont="1"/>
    <xf numFmtId="0" fontId="0" fillId="0" borderId="22" xfId="0" applyBorder="1"/>
    <xf numFmtId="0" fontId="83" fillId="0" borderId="23" xfId="0" applyFont="1" applyBorder="1" applyAlignment="1">
      <alignment horizontal="right"/>
    </xf>
    <xf numFmtId="2" fontId="50" fillId="0" borderId="24" xfId="0" applyNumberFormat="1" applyFont="1" applyBorder="1"/>
    <xf numFmtId="2" fontId="102" fillId="0" borderId="24" xfId="0" applyNumberFormat="1" applyFont="1" applyBorder="1"/>
    <xf numFmtId="0" fontId="18" fillId="0" borderId="0" xfId="0" applyFont="1" applyFill="1" applyBorder="1"/>
    <xf numFmtId="165" fontId="0" fillId="0" borderId="1" xfId="0" applyNumberFormat="1" applyBorder="1"/>
    <xf numFmtId="167" fontId="0" fillId="0" borderId="1" xfId="0" applyNumberFormat="1" applyBorder="1"/>
    <xf numFmtId="0" fontId="104" fillId="0" borderId="0" xfId="0" applyFont="1"/>
    <xf numFmtId="2" fontId="101" fillId="0" borderId="24" xfId="0" applyNumberFormat="1" applyFont="1" applyBorder="1"/>
    <xf numFmtId="0" fontId="51" fillId="0" borderId="22" xfId="0" applyFont="1" applyBorder="1"/>
    <xf numFmtId="2" fontId="3" fillId="0" borderId="24" xfId="0" applyNumberFormat="1" applyFont="1" applyBorder="1"/>
    <xf numFmtId="0" fontId="105" fillId="0" borderId="0" xfId="0" applyFont="1"/>
    <xf numFmtId="167" fontId="0" fillId="0" borderId="0" xfId="0" applyNumberFormat="1" applyBorder="1"/>
    <xf numFmtId="168" fontId="81" fillId="0" borderId="0" xfId="0" applyNumberFormat="1" applyFont="1"/>
    <xf numFmtId="168" fontId="11" fillId="0" borderId="0" xfId="0" applyNumberFormat="1" applyFont="1"/>
    <xf numFmtId="0" fontId="35" fillId="10" borderId="2" xfId="0" applyFont="1" applyFill="1" applyBorder="1" applyAlignment="1">
      <alignment horizontal="center" wrapText="1"/>
    </xf>
    <xf numFmtId="0" fontId="0" fillId="10" borderId="3" xfId="0" applyFill="1" applyBorder="1" applyAlignment="1">
      <alignment horizontal="center" wrapText="1"/>
    </xf>
    <xf numFmtId="0" fontId="0" fillId="10" borderId="4" xfId="0" applyFill="1" applyBorder="1" applyAlignment="1">
      <alignment horizontal="center" wrapText="1"/>
    </xf>
    <xf numFmtId="0" fontId="46" fillId="0" borderId="0" xfId="1" applyFont="1" applyAlignment="1" applyProtection="1">
      <alignment wrapText="1"/>
    </xf>
    <xf numFmtId="0" fontId="45" fillId="0" borderId="0" xfId="1" applyAlignment="1" applyProtection="1">
      <alignment wrapText="1"/>
    </xf>
    <xf numFmtId="2" fontId="15" fillId="0" borderId="19" xfId="0" applyNumberFormat="1" applyFont="1" applyFill="1" applyBorder="1" applyAlignment="1" applyProtection="1">
      <alignment horizontal="center" wrapText="1"/>
    </xf>
    <xf numFmtId="2" fontId="15" fillId="14" borderId="19" xfId="0" applyNumberFormat="1" applyFont="1" applyFill="1" applyBorder="1" applyAlignment="1" applyProtection="1">
      <alignment horizontal="center" wrapText="1"/>
    </xf>
    <xf numFmtId="2" fontId="15" fillId="0" borderId="19" xfId="0" applyNumberFormat="1" applyFont="1" applyBorder="1" applyAlignment="1" applyProtection="1">
      <alignment horizontal="center" wrapText="1"/>
    </xf>
    <xf numFmtId="0" fontId="0" fillId="9" borderId="0" xfId="0" applyFill="1" applyAlignment="1" applyProtection="1">
      <alignment horizontal="center" wrapText="1"/>
    </xf>
    <xf numFmtId="0" fontId="0" fillId="15" borderId="2" xfId="0" applyFill="1" applyBorder="1" applyAlignment="1" applyProtection="1">
      <alignment vertical="top" wrapText="1"/>
    </xf>
    <xf numFmtId="0" fontId="0" fillId="0" borderId="3" xfId="0" applyBorder="1" applyProtection="1"/>
    <xf numFmtId="0" fontId="0" fillId="15" borderId="5" xfId="0" applyFill="1" applyBorder="1" applyAlignment="1" applyProtection="1">
      <alignment vertical="top" wrapText="1"/>
    </xf>
    <xf numFmtId="0" fontId="0" fillId="15" borderId="6" xfId="0" applyFill="1" applyBorder="1" applyAlignment="1" applyProtection="1">
      <alignment vertical="top" wrapText="1"/>
    </xf>
    <xf numFmtId="0" fontId="0" fillId="15" borderId="7" xfId="0" applyFill="1" applyBorder="1" applyAlignment="1" applyProtection="1">
      <alignment vertical="top" wrapText="1"/>
    </xf>
    <xf numFmtId="0" fontId="0" fillId="15" borderId="8" xfId="0" applyFill="1" applyBorder="1" applyAlignment="1" applyProtection="1">
      <alignment vertical="top" wrapText="1"/>
    </xf>
    <xf numFmtId="0" fontId="0" fillId="15" borderId="0" xfId="0" applyFill="1" applyBorder="1" applyAlignment="1" applyProtection="1">
      <alignment vertical="top" wrapText="1"/>
    </xf>
    <xf numFmtId="0" fontId="0" fillId="15" borderId="9" xfId="0" applyFill="1" applyBorder="1" applyAlignment="1" applyProtection="1">
      <alignment vertical="top" wrapText="1"/>
    </xf>
    <xf numFmtId="0" fontId="0" fillId="0" borderId="10" xfId="0" applyBorder="1" applyAlignment="1" applyProtection="1">
      <alignment wrapText="1"/>
    </xf>
    <xf numFmtId="0" fontId="0" fillId="0" borderId="11" xfId="0" applyBorder="1" applyAlignment="1" applyProtection="1">
      <alignment wrapText="1"/>
    </xf>
    <xf numFmtId="0" fontId="0" fillId="0" borderId="12" xfId="0" applyBorder="1" applyAlignment="1" applyProtection="1">
      <alignment wrapText="1"/>
    </xf>
    <xf numFmtId="0" fontId="0" fillId="0" borderId="0" xfId="0" applyAlignment="1" applyProtection="1"/>
    <xf numFmtId="0" fontId="13" fillId="0" borderId="2" xfId="0" applyFont="1" applyBorder="1" applyAlignment="1" applyProtection="1"/>
    <xf numFmtId="0" fontId="0" fillId="0" borderId="3" xfId="0" applyBorder="1" applyAlignment="1"/>
    <xf numFmtId="0" fontId="0" fillId="0" borderId="4" xfId="0" applyBorder="1" applyAlignment="1"/>
    <xf numFmtId="0" fontId="20" fillId="9" borderId="0" xfId="0" applyFont="1" applyFill="1" applyAlignment="1" applyProtection="1">
      <alignment horizontal="center" wrapText="1"/>
    </xf>
    <xf numFmtId="0" fontId="0" fillId="9" borderId="9" xfId="0" applyFill="1" applyBorder="1" applyAlignment="1" applyProtection="1">
      <alignment horizontal="center" wrapText="1"/>
    </xf>
    <xf numFmtId="0" fontId="56" fillId="9" borderId="0" xfId="0" applyFont="1" applyFill="1" applyAlignment="1">
      <alignment horizontal="center" wrapText="1"/>
    </xf>
    <xf numFmtId="0" fontId="3" fillId="3" borderId="0" xfId="0" applyFont="1" applyFill="1" applyAlignment="1" applyProtection="1">
      <alignment horizontal="left"/>
    </xf>
    <xf numFmtId="0" fontId="0" fillId="0" borderId="0" xfId="0" applyAlignment="1">
      <alignment horizontal="left"/>
    </xf>
    <xf numFmtId="0" fontId="55" fillId="0" borderId="0" xfId="0" applyFont="1" applyAlignment="1" applyProtection="1">
      <alignment horizontal="center"/>
    </xf>
    <xf numFmtId="0" fontId="0" fillId="0" borderId="0" xfId="0" applyAlignment="1" applyProtection="1">
      <alignment horizontal="center"/>
    </xf>
    <xf numFmtId="0" fontId="81" fillId="0" borderId="0" xfId="0" applyFont="1" applyAlignment="1">
      <alignment horizontal="left" vertical="top" wrapText="1"/>
    </xf>
    <xf numFmtId="0" fontId="23" fillId="15" borderId="2" xfId="0" applyFont="1" applyFill="1"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97" fillId="0" borderId="0" xfId="0" applyFont="1" applyAlignment="1">
      <alignment horizontal="center"/>
    </xf>
    <xf numFmtId="0" fontId="0" fillId="0" borderId="0" xfId="0" applyAlignment="1">
      <alignment horizontal="center"/>
    </xf>
    <xf numFmtId="0" fontId="98" fillId="25" borderId="2" xfId="0" applyFont="1" applyFill="1" applyBorder="1" applyAlignment="1"/>
    <xf numFmtId="0" fontId="53" fillId="8" borderId="5" xfId="0" applyFont="1" applyFill="1" applyBorder="1" applyAlignment="1">
      <alignment horizontal="center" wrapText="1"/>
    </xf>
    <xf numFmtId="0" fontId="53" fillId="8" borderId="6" xfId="0" applyFont="1" applyFill="1" applyBorder="1" applyAlignment="1">
      <alignment horizontal="center" wrapText="1"/>
    </xf>
    <xf numFmtId="0" fontId="0" fillId="8" borderId="6" xfId="0" applyFill="1" applyBorder="1" applyAlignment="1">
      <alignment horizontal="center"/>
    </xf>
    <xf numFmtId="0" fontId="0" fillId="8" borderId="7" xfId="0" applyFill="1" applyBorder="1" applyAlignment="1">
      <alignment horizontal="center"/>
    </xf>
    <xf numFmtId="167" fontId="0" fillId="10" borderId="2" xfId="0" applyNumberFormat="1" applyFill="1" applyBorder="1" applyAlignment="1"/>
    <xf numFmtId="0" fontId="0" fillId="10" borderId="3" xfId="0" applyFill="1" applyBorder="1" applyAlignment="1"/>
    <xf numFmtId="167" fontId="0" fillId="10" borderId="3" xfId="0" applyNumberFormat="1" applyFill="1" applyBorder="1" applyAlignment="1"/>
    <xf numFmtId="167" fontId="0" fillId="10" borderId="4" xfId="0" applyNumberFormat="1" applyFill="1" applyBorder="1" applyAlignment="1"/>
    <xf numFmtId="0" fontId="0" fillId="10" borderId="2" xfId="0" applyFill="1" applyBorder="1" applyAlignment="1"/>
    <xf numFmtId="0" fontId="0" fillId="10" borderId="4" xfId="0" applyFill="1" applyBorder="1" applyAlignment="1"/>
    <xf numFmtId="0" fontId="70" fillId="0" borderId="0" xfId="0" applyFont="1" applyAlignment="1">
      <alignment horizontal="center" wrapText="1"/>
    </xf>
    <xf numFmtId="0" fontId="15" fillId="0" borderId="0" xfId="0" applyFont="1" applyAlignment="1">
      <alignment horizontal="center" wrapText="1"/>
    </xf>
    <xf numFmtId="0" fontId="0" fillId="0" borderId="0" xfId="0" applyAlignment="1">
      <alignment wrapText="1"/>
    </xf>
    <xf numFmtId="0" fontId="23" fillId="10" borderId="2" xfId="0" applyFont="1" applyFill="1" applyBorder="1" applyAlignment="1">
      <alignment wrapText="1"/>
    </xf>
    <xf numFmtId="0" fontId="0" fillId="10" borderId="3" xfId="0" applyFill="1" applyBorder="1" applyAlignment="1">
      <alignment wrapText="1"/>
    </xf>
    <xf numFmtId="0" fontId="0" fillId="4" borderId="0" xfId="0" applyFill="1" applyAlignment="1">
      <alignment wrapText="1"/>
    </xf>
    <xf numFmtId="0" fontId="0" fillId="2" borderId="2" xfId="0" applyFill="1" applyBorder="1" applyAlignment="1" applyProtection="1">
      <protection locked="0"/>
    </xf>
    <xf numFmtId="0" fontId="0" fillId="2" borderId="4" xfId="0" applyFill="1" applyBorder="1" applyAlignment="1" applyProtection="1">
      <protection locked="0"/>
    </xf>
    <xf numFmtId="3" fontId="0" fillId="2" borderId="2" xfId="0" applyNumberFormat="1" applyFill="1" applyBorder="1" applyAlignment="1" applyProtection="1">
      <protection locked="0"/>
    </xf>
    <xf numFmtId="0" fontId="17" fillId="0" borderId="8" xfId="0" applyFont="1" applyBorder="1" applyAlignment="1">
      <alignment horizontal="left"/>
    </xf>
    <xf numFmtId="0" fontId="0" fillId="0" borderId="0" xfId="0" applyAlignment="1"/>
    <xf numFmtId="0" fontId="0" fillId="0" borderId="6" xfId="0" applyBorder="1" applyAlignment="1"/>
    <xf numFmtId="0" fontId="27" fillId="10" borderId="2" xfId="0" applyFont="1" applyFill="1" applyBorder="1" applyAlignment="1" applyProtection="1">
      <alignment horizontal="center"/>
    </xf>
    <xf numFmtId="0" fontId="0" fillId="10" borderId="3" xfId="0" applyFill="1" applyBorder="1" applyAlignment="1" applyProtection="1">
      <alignment horizontal="center"/>
    </xf>
    <xf numFmtId="0" fontId="0" fillId="10" borderId="4" xfId="0" applyFill="1" applyBorder="1" applyAlignment="1" applyProtection="1">
      <alignment horizontal="center"/>
    </xf>
    <xf numFmtId="0" fontId="0" fillId="10" borderId="5" xfId="0" applyFill="1" applyBorder="1" applyAlignment="1" applyProtection="1">
      <alignment horizontal="left" vertical="top" wrapText="1"/>
    </xf>
    <xf numFmtId="0" fontId="0" fillId="10" borderId="6" xfId="0" applyFill="1" applyBorder="1" applyAlignment="1" applyProtection="1">
      <alignment horizontal="left" vertical="top" wrapText="1"/>
    </xf>
    <xf numFmtId="0" fontId="28" fillId="10" borderId="7" xfId="0" applyFont="1" applyFill="1" applyBorder="1" applyAlignment="1" applyProtection="1">
      <alignment horizontal="left" vertical="top" wrapText="1"/>
    </xf>
    <xf numFmtId="0" fontId="0" fillId="10" borderId="8" xfId="0" applyFill="1" applyBorder="1" applyAlignment="1" applyProtection="1">
      <alignment horizontal="left" vertical="top" wrapText="1"/>
    </xf>
    <xf numFmtId="0" fontId="0" fillId="10" borderId="0" xfId="0" applyFill="1" applyBorder="1" applyAlignment="1" applyProtection="1">
      <alignment horizontal="left" vertical="top" wrapText="1"/>
    </xf>
    <xf numFmtId="0" fontId="28" fillId="10" borderId="9" xfId="0" applyFont="1" applyFill="1" applyBorder="1" applyAlignment="1" applyProtection="1">
      <alignment horizontal="left" vertical="top" wrapText="1"/>
    </xf>
    <xf numFmtId="0" fontId="0" fillId="10" borderId="10" xfId="0" applyFill="1" applyBorder="1" applyAlignment="1" applyProtection="1">
      <alignment horizontal="left" vertical="top" wrapText="1"/>
    </xf>
    <xf numFmtId="0" fontId="0" fillId="10" borderId="11" xfId="0" applyFill="1" applyBorder="1" applyAlignment="1" applyProtection="1">
      <alignment horizontal="left" vertical="top" wrapText="1"/>
    </xf>
    <xf numFmtId="0" fontId="28" fillId="10" borderId="12" xfId="0" applyFont="1" applyFill="1" applyBorder="1" applyAlignment="1" applyProtection="1">
      <alignment horizontal="left" vertical="top" wrapText="1"/>
    </xf>
    <xf numFmtId="0" fontId="48" fillId="10" borderId="5" xfId="0" applyFont="1" applyFill="1" applyBorder="1" applyAlignment="1" applyProtection="1">
      <alignment horizontal="center" vertical="center" wrapText="1"/>
    </xf>
    <xf numFmtId="0" fontId="48" fillId="10" borderId="6" xfId="0" applyFont="1" applyFill="1" applyBorder="1" applyAlignment="1" applyProtection="1">
      <alignment horizontal="center" vertical="center" wrapText="1"/>
    </xf>
    <xf numFmtId="0" fontId="48" fillId="10" borderId="7" xfId="0" applyFont="1" applyFill="1" applyBorder="1" applyAlignment="1" applyProtection="1">
      <alignment horizontal="center" vertical="center" wrapText="1"/>
    </xf>
    <xf numFmtId="0" fontId="48" fillId="10" borderId="10" xfId="0" applyFont="1" applyFill="1" applyBorder="1" applyAlignment="1" applyProtection="1">
      <alignment horizontal="center" vertical="center" wrapText="1"/>
    </xf>
    <xf numFmtId="0" fontId="48" fillId="10" borderId="11" xfId="0" applyFont="1" applyFill="1" applyBorder="1" applyAlignment="1" applyProtection="1">
      <alignment horizontal="center" vertical="center" wrapText="1"/>
    </xf>
    <xf numFmtId="0" fontId="48" fillId="10" borderId="12" xfId="0" applyFont="1" applyFill="1" applyBorder="1" applyAlignment="1" applyProtection="1">
      <alignment horizontal="center" vertical="center" wrapText="1"/>
    </xf>
    <xf numFmtId="0" fontId="12" fillId="10" borderId="2" xfId="0" applyFont="1" applyFill="1" applyBorder="1" applyAlignment="1">
      <alignment horizontal="center" vertical="center" wrapText="1"/>
    </xf>
    <xf numFmtId="0" fontId="47" fillId="10" borderId="3" xfId="0" applyFont="1" applyFill="1" applyBorder="1" applyAlignment="1">
      <alignment horizontal="center" vertical="center" wrapText="1"/>
    </xf>
    <xf numFmtId="0" fontId="47" fillId="10" borderId="4" xfId="0" applyFont="1" applyFill="1" applyBorder="1" applyAlignment="1">
      <alignment horizontal="center" vertical="center" wrapText="1"/>
    </xf>
    <xf numFmtId="0" fontId="15" fillId="0" borderId="0" xfId="0" applyFont="1" applyAlignment="1">
      <alignment horizontal="center"/>
    </xf>
    <xf numFmtId="0" fontId="32" fillId="0" borderId="0" xfId="0" applyFont="1" applyAlignment="1"/>
    <xf numFmtId="0" fontId="17" fillId="0" borderId="0" xfId="0" applyFont="1" applyAlignment="1">
      <alignment horizontal="left" vertical="top"/>
    </xf>
    <xf numFmtId="0" fontId="0" fillId="0" borderId="9" xfId="0" applyFill="1" applyBorder="1" applyAlignment="1">
      <alignment horizontal="left" vertical="top"/>
    </xf>
    <xf numFmtId="0" fontId="0" fillId="0" borderId="9" xfId="0" applyBorder="1" applyAlignment="1"/>
    <xf numFmtId="0" fontId="35" fillId="10" borderId="2" xfId="0" applyFont="1" applyFill="1" applyBorder="1" applyAlignment="1">
      <alignment horizontal="center" vertical="center" wrapText="1"/>
    </xf>
    <xf numFmtId="0" fontId="36" fillId="10" borderId="3" xfId="0" applyFont="1" applyFill="1" applyBorder="1" applyAlignment="1">
      <alignment horizontal="center" vertical="center" wrapText="1"/>
    </xf>
    <xf numFmtId="0" fontId="36" fillId="10" borderId="3" xfId="0" applyFont="1" applyFill="1" applyBorder="1" applyAlignment="1">
      <alignment wrapText="1"/>
    </xf>
    <xf numFmtId="0" fontId="36" fillId="10" borderId="4" xfId="0" applyFont="1" applyFill="1" applyBorder="1" applyAlignment="1">
      <alignment wrapText="1"/>
    </xf>
    <xf numFmtId="0" fontId="17" fillId="10" borderId="5" xfId="0" applyFont="1" applyFill="1" applyBorder="1" applyAlignment="1">
      <alignment horizontal="center" vertical="center" wrapText="1"/>
    </xf>
    <xf numFmtId="0" fontId="15" fillId="0" borderId="6" xfId="0" applyFont="1" applyBorder="1" applyAlignment="1">
      <alignment wrapText="1"/>
    </xf>
    <xf numFmtId="0" fontId="15" fillId="0" borderId="7" xfId="0" applyFont="1" applyBorder="1" applyAlignment="1">
      <alignment wrapText="1"/>
    </xf>
    <xf numFmtId="0" fontId="15" fillId="0" borderId="18" xfId="0" applyFont="1" applyBorder="1" applyAlignment="1">
      <alignment horizontal="center" wrapText="1"/>
    </xf>
    <xf numFmtId="0" fontId="15" fillId="0" borderId="15" xfId="0" applyFont="1" applyBorder="1" applyAlignment="1">
      <alignment horizontal="center" wrapText="1"/>
    </xf>
    <xf numFmtId="0" fontId="49" fillId="10" borderId="2" xfId="0" applyFont="1" applyFill="1" applyBorder="1" applyAlignment="1">
      <alignment wrapText="1"/>
    </xf>
    <xf numFmtId="0" fontId="49" fillId="10" borderId="3" xfId="0" applyFont="1" applyFill="1" applyBorder="1" applyAlignment="1">
      <alignment wrapText="1"/>
    </xf>
    <xf numFmtId="0" fontId="49" fillId="10" borderId="4" xfId="0" applyFont="1" applyFill="1" applyBorder="1" applyAlignment="1">
      <alignment wrapText="1"/>
    </xf>
    <xf numFmtId="0" fontId="15" fillId="0" borderId="17"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8" xfId="0" applyFont="1" applyBorder="1" applyAlignment="1">
      <alignment horizontal="center" vertical="center" wrapText="1"/>
    </xf>
    <xf numFmtId="0" fontId="0" fillId="10" borderId="5" xfId="0" applyFill="1" applyBorder="1" applyAlignment="1">
      <alignment horizontal="left" vertical="center" wrapText="1"/>
    </xf>
    <xf numFmtId="0" fontId="0" fillId="10" borderId="6" xfId="0" applyFill="1" applyBorder="1" applyAlignment="1">
      <alignment horizontal="left" vertical="center" wrapText="1"/>
    </xf>
    <xf numFmtId="0" fontId="0" fillId="10" borderId="7" xfId="0" applyFill="1" applyBorder="1" applyAlignment="1">
      <alignment horizontal="left" vertical="center" wrapText="1"/>
    </xf>
    <xf numFmtId="0" fontId="0" fillId="10" borderId="10" xfId="0" applyFill="1" applyBorder="1" applyAlignment="1">
      <alignment horizontal="left" vertical="center" wrapText="1"/>
    </xf>
    <xf numFmtId="0" fontId="0" fillId="10" borderId="11" xfId="0" applyFill="1" applyBorder="1" applyAlignment="1">
      <alignment horizontal="left" vertical="center" wrapText="1"/>
    </xf>
    <xf numFmtId="0" fontId="0" fillId="10" borderId="12" xfId="0" applyFill="1" applyBorder="1" applyAlignment="1">
      <alignment horizontal="left" vertical="center" wrapText="1"/>
    </xf>
    <xf numFmtId="0" fontId="16" fillId="0" borderId="11" xfId="0" applyFont="1" applyBorder="1" applyAlignment="1">
      <alignment horizontal="center"/>
    </xf>
    <xf numFmtId="0" fontId="15" fillId="0" borderId="11" xfId="0" applyFont="1" applyBorder="1" applyAlignment="1">
      <alignment horizontal="center"/>
    </xf>
    <xf numFmtId="0" fontId="34" fillId="10" borderId="2" xfId="0" applyFont="1" applyFill="1" applyBorder="1" applyAlignment="1">
      <alignment horizontal="center" vertical="center" wrapText="1"/>
    </xf>
    <xf numFmtId="0" fontId="15" fillId="0" borderId="3" xfId="0" applyFont="1" applyBorder="1" applyAlignment="1">
      <alignment wrapText="1"/>
    </xf>
    <xf numFmtId="0" fontId="51" fillId="10" borderId="5" xfId="0" applyFont="1" applyFill="1" applyBorder="1" applyAlignment="1">
      <alignment horizontal="left" vertical="center" wrapText="1"/>
    </xf>
    <xf numFmtId="0" fontId="51" fillId="0" borderId="6" xfId="0" applyFont="1" applyBorder="1" applyAlignment="1">
      <alignment horizontal="left" vertical="center" wrapText="1"/>
    </xf>
    <xf numFmtId="0" fontId="51" fillId="0" borderId="10" xfId="0" applyFont="1" applyBorder="1" applyAlignment="1">
      <alignment horizontal="left" vertical="center" wrapText="1"/>
    </xf>
    <xf numFmtId="0" fontId="51" fillId="0" borderId="11" xfId="0" applyFont="1" applyBorder="1" applyAlignment="1">
      <alignment horizontal="left" vertical="center" wrapText="1"/>
    </xf>
    <xf numFmtId="0" fontId="15" fillId="0" borderId="6" xfId="0" applyFont="1" applyBorder="1" applyAlignment="1">
      <alignment horizontal="center" vertical="center" wrapText="1"/>
    </xf>
    <xf numFmtId="0" fontId="0" fillId="0" borderId="0" xfId="0" applyAlignment="1">
      <alignment horizontal="center" vertical="center" wrapText="1"/>
    </xf>
    <xf numFmtId="0" fontId="0" fillId="0" borderId="11" xfId="0" applyBorder="1" applyAlignment="1">
      <alignment horizontal="center" vertical="center" wrapText="1"/>
    </xf>
    <xf numFmtId="0" fontId="0" fillId="0" borderId="17" xfId="0" applyBorder="1" applyAlignment="1">
      <alignment horizontal="center" vertical="center" wrapText="1"/>
    </xf>
    <xf numFmtId="0" fontId="0" fillId="0" borderId="15" xfId="0" applyBorder="1" applyAlignment="1">
      <alignment horizontal="center" vertical="center" wrapText="1"/>
    </xf>
    <xf numFmtId="0" fontId="15" fillId="0" borderId="5" xfId="0" applyFont="1"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15" fillId="0" borderId="8" xfId="0" applyFont="1" applyBorder="1" applyAlignment="1">
      <alignment horizontal="center"/>
    </xf>
    <xf numFmtId="0" fontId="74" fillId="0" borderId="0" xfId="0" applyFont="1" applyAlignment="1">
      <alignment horizontal="center"/>
    </xf>
    <xf numFmtId="0" fontId="74" fillId="0" borderId="0" xfId="0" applyFont="1" applyAlignment="1">
      <alignment vertical="top" wrapText="1"/>
    </xf>
    <xf numFmtId="0" fontId="0" fillId="0" borderId="0" xfId="0" applyAlignment="1">
      <alignment vertical="top" wrapText="1"/>
    </xf>
    <xf numFmtId="0" fontId="17" fillId="23" borderId="2" xfId="0" applyFont="1" applyFill="1" applyBorder="1" applyAlignment="1">
      <alignment horizontal="center" vertical="center"/>
    </xf>
    <xf numFmtId="0" fontId="17" fillId="23" borderId="3" xfId="0" applyFont="1" applyFill="1" applyBorder="1" applyAlignment="1">
      <alignment horizontal="center" vertical="center"/>
    </xf>
    <xf numFmtId="0" fontId="17" fillId="23" borderId="4" xfId="0" applyFont="1" applyFill="1" applyBorder="1" applyAlignment="1">
      <alignment horizontal="center" vertical="center"/>
    </xf>
    <xf numFmtId="0" fontId="17" fillId="23" borderId="1" xfId="0" applyFont="1" applyFill="1" applyBorder="1" applyAlignment="1">
      <alignment horizontal="center" vertical="center"/>
    </xf>
    <xf numFmtId="0" fontId="81" fillId="0" borderId="0" xfId="0" applyFont="1" applyAlignment="1"/>
    <xf numFmtId="0" fontId="56" fillId="9" borderId="11" xfId="0" applyFont="1" applyFill="1" applyBorder="1" applyAlignment="1">
      <alignment horizontal="center" wrapText="1"/>
    </xf>
    <xf numFmtId="0" fontId="43" fillId="9" borderId="11" xfId="0" applyFont="1" applyFill="1" applyBorder="1" applyAlignment="1">
      <alignment horizontal="center" wrapText="1"/>
    </xf>
    <xf numFmtId="0" fontId="15" fillId="16" borderId="2" xfId="0" applyFont="1" applyFill="1"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10" borderId="2" xfId="0" applyFill="1" applyBorder="1" applyAlignment="1">
      <alignment wrapText="1"/>
    </xf>
    <xf numFmtId="0" fontId="0" fillId="10" borderId="4" xfId="0" applyFill="1" applyBorder="1" applyAlignment="1">
      <alignment wrapText="1"/>
    </xf>
    <xf numFmtId="0" fontId="17" fillId="14" borderId="0" xfId="0" applyFont="1" applyFill="1" applyAlignment="1">
      <alignment horizontal="center"/>
    </xf>
    <xf numFmtId="0" fontId="15" fillId="0" borderId="0" xfId="0" applyFont="1" applyAlignment="1">
      <alignment horizontal="left"/>
    </xf>
    <xf numFmtId="0" fontId="0" fillId="0" borderId="0" xfId="0" applyAlignment="1">
      <alignment horizontal="left" vertical="top" wrapText="1"/>
    </xf>
    <xf numFmtId="0" fontId="20" fillId="9" borderId="0" xfId="0" applyFont="1" applyFill="1" applyAlignment="1">
      <alignment horizontal="center" wrapText="1"/>
    </xf>
    <xf numFmtId="0" fontId="18" fillId="9" borderId="0" xfId="0" applyFont="1" applyFill="1" applyAlignment="1">
      <alignment horizontal="center" wrapText="1"/>
    </xf>
    <xf numFmtId="0" fontId="18" fillId="13" borderId="5" xfId="0" applyFont="1" applyFill="1" applyBorder="1" applyAlignment="1">
      <alignment vertical="top" wrapText="1"/>
    </xf>
    <xf numFmtId="0" fontId="0" fillId="13" borderId="6" xfId="0" applyFill="1" applyBorder="1" applyAlignment="1">
      <alignment vertical="top" wrapText="1"/>
    </xf>
    <xf numFmtId="0" fontId="0" fillId="13" borderId="7" xfId="0" applyFill="1" applyBorder="1" applyAlignment="1">
      <alignment vertical="top" wrapText="1"/>
    </xf>
    <xf numFmtId="0" fontId="0" fillId="13" borderId="8" xfId="0" applyFill="1" applyBorder="1" applyAlignment="1">
      <alignment vertical="top" wrapText="1"/>
    </xf>
    <xf numFmtId="0" fontId="0" fillId="13" borderId="0" xfId="0" applyFill="1" applyBorder="1" applyAlignment="1">
      <alignment vertical="top" wrapText="1"/>
    </xf>
    <xf numFmtId="0" fontId="0" fillId="13" borderId="9" xfId="0" applyFill="1" applyBorder="1" applyAlignment="1">
      <alignment vertical="top" wrapText="1"/>
    </xf>
    <xf numFmtId="0" fontId="0" fillId="13" borderId="10" xfId="0" applyFill="1" applyBorder="1" applyAlignment="1">
      <alignment vertical="top" wrapText="1"/>
    </xf>
    <xf numFmtId="0" fontId="0" fillId="13" borderId="11" xfId="0" applyFill="1" applyBorder="1" applyAlignment="1">
      <alignment vertical="top" wrapText="1"/>
    </xf>
    <xf numFmtId="0" fontId="0" fillId="13" borderId="12" xfId="0" applyFill="1" applyBorder="1" applyAlignment="1">
      <alignment vertical="top" wrapText="1"/>
    </xf>
    <xf numFmtId="0" fontId="3" fillId="0" borderId="0" xfId="0" applyFont="1" applyAlignment="1">
      <alignment horizontal="center" wrapText="1"/>
    </xf>
    <xf numFmtId="0" fontId="18" fillId="15" borderId="5" xfId="0" applyFont="1" applyFill="1" applyBorder="1" applyAlignment="1">
      <alignment vertical="center" wrapText="1"/>
    </xf>
    <xf numFmtId="0" fontId="18" fillId="15" borderId="6" xfId="0" applyFont="1" applyFill="1" applyBorder="1" applyAlignment="1">
      <alignment vertical="center" wrapText="1"/>
    </xf>
    <xf numFmtId="0" fontId="18" fillId="15" borderId="7" xfId="0" applyFont="1" applyFill="1" applyBorder="1" applyAlignment="1">
      <alignment vertical="center" wrapText="1"/>
    </xf>
    <xf numFmtId="0" fontId="18" fillId="15" borderId="8" xfId="0" applyFont="1" applyFill="1" applyBorder="1" applyAlignment="1">
      <alignment vertical="center" wrapText="1"/>
    </xf>
    <xf numFmtId="0" fontId="18" fillId="15" borderId="0" xfId="0" applyFont="1" applyFill="1" applyBorder="1" applyAlignment="1">
      <alignment vertical="center" wrapText="1"/>
    </xf>
    <xf numFmtId="0" fontId="18" fillId="15" borderId="9" xfId="0" applyFont="1" applyFill="1" applyBorder="1" applyAlignment="1">
      <alignment vertical="center" wrapText="1"/>
    </xf>
    <xf numFmtId="0" fontId="18" fillId="15" borderId="10" xfId="0" applyFont="1" applyFill="1" applyBorder="1" applyAlignment="1">
      <alignment vertical="center" wrapText="1"/>
    </xf>
    <xf numFmtId="0" fontId="18" fillId="15" borderId="11" xfId="0" applyFont="1" applyFill="1" applyBorder="1" applyAlignment="1">
      <alignment vertical="center" wrapText="1"/>
    </xf>
    <xf numFmtId="0" fontId="18" fillId="15" borderId="12" xfId="0" applyFont="1" applyFill="1" applyBorder="1" applyAlignment="1">
      <alignment vertical="center" wrapText="1"/>
    </xf>
    <xf numFmtId="0" fontId="4" fillId="0" borderId="6" xfId="0" applyFont="1" applyBorder="1" applyAlignment="1">
      <alignment wrapText="1"/>
    </xf>
    <xf numFmtId="0" fontId="45" fillId="0" borderId="0" xfId="1" applyFont="1" applyAlignment="1" applyProtection="1">
      <alignment horizontal="center"/>
    </xf>
    <xf numFmtId="0" fontId="100" fillId="0" borderId="22" xfId="0" applyFont="1" applyBorder="1" applyAlignment="1"/>
    <xf numFmtId="0" fontId="0" fillId="0" borderId="23" xfId="0" applyBorder="1" applyAlignment="1"/>
    <xf numFmtId="0" fontId="99" fillId="0" borderId="22" xfId="0" applyFont="1" applyBorder="1" applyAlignment="1">
      <alignment horizontal="right"/>
    </xf>
    <xf numFmtId="0" fontId="51" fillId="0" borderId="23" xfId="0" applyFont="1" applyBorder="1" applyAlignment="1">
      <alignment horizontal="right"/>
    </xf>
  </cellXfs>
  <cellStyles count="2">
    <cellStyle name="Hyperlink" xfId="1" builtinId="8"/>
    <cellStyle name="Normal" xfId="0" builtinId="0"/>
  </cellStyles>
  <dxfs count="2">
    <dxf>
      <fill>
        <patternFill>
          <bgColor indexed="43"/>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510219537447723"/>
          <c:y val="9.7744360902255634E-2"/>
          <c:w val="0.81632734407619589"/>
          <c:h val="0.58270676691729328"/>
        </c:manualLayout>
      </c:layout>
      <c:barChart>
        <c:barDir val="col"/>
        <c:grouping val="clustered"/>
        <c:varyColors val="0"/>
        <c:ser>
          <c:idx val="0"/>
          <c:order val="0"/>
          <c:spPr>
            <a:solidFill>
              <a:srgbClr val="9999FF"/>
            </a:solidFill>
            <a:ln w="12700">
              <a:solidFill>
                <a:srgbClr val="000000"/>
              </a:solidFill>
              <a:prstDash val="solid"/>
            </a:ln>
          </c:spPr>
          <c:invertIfNegative val="0"/>
          <c:cat>
            <c:numRef>
              <c:f>'Epidemic curve'!$G$6:$G$15</c:f>
              <c:numCache>
                <c:formatCode>m/d;@</c:formatCode>
                <c:ptCount val="10"/>
                <c:pt idx="0">
                  <c:v>38385</c:v>
                </c:pt>
                <c:pt idx="1">
                  <c:v>38393</c:v>
                </c:pt>
                <c:pt idx="2">
                  <c:v>38426</c:v>
                </c:pt>
                <c:pt idx="3">
                  <c:v>38456</c:v>
                </c:pt>
                <c:pt idx="4">
                  <c:v>38470</c:v>
                </c:pt>
                <c:pt idx="5">
                  <c:v>38474</c:v>
                </c:pt>
                <c:pt idx="6">
                  <c:v>38478</c:v>
                </c:pt>
                <c:pt idx="7">
                  <c:v>38482</c:v>
                </c:pt>
                <c:pt idx="8">
                  <c:v>38486</c:v>
                </c:pt>
                <c:pt idx="9">
                  <c:v>38490</c:v>
                </c:pt>
              </c:numCache>
            </c:numRef>
          </c:cat>
          <c:val>
            <c:numRef>
              <c:f>'Epidemic curve'!$H$6:$H$15</c:f>
              <c:numCache>
                <c:formatCode>General</c:formatCode>
                <c:ptCount val="10"/>
                <c:pt idx="0">
                  <c:v>1</c:v>
                </c:pt>
                <c:pt idx="1">
                  <c:v>1</c:v>
                </c:pt>
                <c:pt idx="2">
                  <c:v>1</c:v>
                </c:pt>
                <c:pt idx="3">
                  <c:v>1</c:v>
                </c:pt>
                <c:pt idx="4" formatCode="0">
                  <c:v>6</c:v>
                </c:pt>
                <c:pt idx="5" formatCode="0">
                  <c:v>9</c:v>
                </c:pt>
                <c:pt idx="6" formatCode="0">
                  <c:v>14</c:v>
                </c:pt>
                <c:pt idx="7" formatCode="0">
                  <c:v>11</c:v>
                </c:pt>
                <c:pt idx="8" formatCode="0">
                  <c:v>7</c:v>
                </c:pt>
                <c:pt idx="9" formatCode="0">
                  <c:v>4</c:v>
                </c:pt>
              </c:numCache>
            </c:numRef>
          </c:val>
        </c:ser>
        <c:dLbls>
          <c:showLegendKey val="0"/>
          <c:showVal val="0"/>
          <c:showCatName val="0"/>
          <c:showSerName val="0"/>
          <c:showPercent val="0"/>
          <c:showBubbleSize val="0"/>
        </c:dLbls>
        <c:gapWidth val="150"/>
        <c:axId val="305320448"/>
        <c:axId val="305325152"/>
      </c:barChart>
      <c:dateAx>
        <c:axId val="305320448"/>
        <c:scaling>
          <c:orientation val="minMax"/>
        </c:scaling>
        <c:delete val="0"/>
        <c:axPos val="b"/>
        <c:numFmt formatCode="m/d/yyyy" sourceLinked="0"/>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305325152"/>
        <c:crosses val="autoZero"/>
        <c:auto val="1"/>
        <c:lblOffset val="100"/>
        <c:baseTimeUnit val="days"/>
        <c:majorUnit val="7"/>
        <c:majorTimeUnit val="days"/>
        <c:minorUnit val="1"/>
        <c:minorTimeUnit val="days"/>
      </c:dateAx>
      <c:valAx>
        <c:axId val="30532515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0532044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96932305992674"/>
          <c:y val="0.10784365351013667"/>
          <c:w val="0.81081233939946951"/>
          <c:h val="0.73039565331865286"/>
        </c:manualLayout>
      </c:layout>
      <c:scatterChart>
        <c:scatterStyle val="lineMarker"/>
        <c:varyColors val="0"/>
        <c:ser>
          <c:idx val="0"/>
          <c:order val="0"/>
          <c:spPr>
            <a:ln w="28575">
              <a:noFill/>
            </a:ln>
          </c:spPr>
          <c:marker>
            <c:symbol val="diamond"/>
            <c:size val="5"/>
            <c:spPr>
              <a:solidFill>
                <a:srgbClr val="000090"/>
              </a:solidFill>
              <a:ln>
                <a:solidFill>
                  <a:srgbClr val="000090"/>
                </a:solidFill>
                <a:prstDash val="solid"/>
              </a:ln>
            </c:spPr>
          </c:marker>
          <c:xVal>
            <c:numRef>
              <c:f>'T-tests'!$A$5:$A$18</c:f>
              <c:numCache>
                <c:formatCode>General</c:formatCode>
                <c:ptCount val="14"/>
              </c:numCache>
            </c:numRef>
          </c:xVal>
          <c:yVal>
            <c:numRef>
              <c:f>'T-tests'!$B$5:$B$18</c:f>
              <c:numCache>
                <c:formatCode>General</c:formatCode>
                <c:ptCount val="14"/>
                <c:pt idx="0">
                  <c:v>25</c:v>
                </c:pt>
                <c:pt idx="1">
                  <c:v>25</c:v>
                </c:pt>
                <c:pt idx="2">
                  <c:v>27</c:v>
                </c:pt>
                <c:pt idx="3">
                  <c:v>34</c:v>
                </c:pt>
                <c:pt idx="4">
                  <c:v>38</c:v>
                </c:pt>
                <c:pt idx="5">
                  <c:v>30</c:v>
                </c:pt>
                <c:pt idx="6">
                  <c:v>25</c:v>
                </c:pt>
                <c:pt idx="7">
                  <c:v>28</c:v>
                </c:pt>
                <c:pt idx="8">
                  <c:v>29</c:v>
                </c:pt>
                <c:pt idx="9">
                  <c:v>32</c:v>
                </c:pt>
                <c:pt idx="10">
                  <c:v>27</c:v>
                </c:pt>
                <c:pt idx="11">
                  <c:v>28</c:v>
                </c:pt>
                <c:pt idx="12">
                  <c:v>30</c:v>
                </c:pt>
                <c:pt idx="13">
                  <c:v>31</c:v>
                </c:pt>
              </c:numCache>
            </c:numRef>
          </c:yVal>
          <c:smooth val="0"/>
        </c:ser>
        <c:dLbls>
          <c:showLegendKey val="0"/>
          <c:showVal val="0"/>
          <c:showCatName val="0"/>
          <c:showSerName val="0"/>
          <c:showPercent val="0"/>
          <c:showBubbleSize val="0"/>
        </c:dLbls>
        <c:axId val="382952776"/>
        <c:axId val="382951208"/>
      </c:scatterChart>
      <c:valAx>
        <c:axId val="382952776"/>
        <c:scaling>
          <c:orientation val="minMax"/>
          <c:max val="2.2000000000000002"/>
          <c:min val="0.8"/>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525" b="0" i="0" u="none" strike="noStrike" baseline="0">
                <a:solidFill>
                  <a:srgbClr val="FFFFFF"/>
                </a:solidFill>
                <a:latin typeface="Arial"/>
                <a:ea typeface="Arial"/>
                <a:cs typeface="Arial"/>
              </a:defRPr>
            </a:pPr>
            <a:endParaRPr lang="en-US"/>
          </a:p>
        </c:txPr>
        <c:crossAx val="382951208"/>
        <c:crosses val="autoZero"/>
        <c:crossBetween val="midCat"/>
        <c:majorUnit val="1"/>
      </c:valAx>
      <c:valAx>
        <c:axId val="382951208"/>
        <c:scaling>
          <c:orientation val="minMax"/>
          <c:min val="2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525" b="0" i="0" u="none" strike="noStrike" baseline="0">
                <a:solidFill>
                  <a:srgbClr val="000000"/>
                </a:solidFill>
                <a:latin typeface="Arial"/>
                <a:ea typeface="Arial"/>
                <a:cs typeface="Arial"/>
              </a:defRPr>
            </a:pPr>
            <a:endParaRPr lang="en-US"/>
          </a:p>
        </c:txPr>
        <c:crossAx val="382952776"/>
        <c:crosses val="autoZero"/>
        <c:crossBetween val="midCat"/>
        <c:majorUnit val="5"/>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42155985111641"/>
          <c:y val="9.0517431887779262E-2"/>
          <c:w val="0.79824903307048845"/>
          <c:h val="0.77586370189525078"/>
        </c:manualLayout>
      </c:layout>
      <c:scatterChart>
        <c:scatterStyle val="lineMarker"/>
        <c:varyColors val="0"/>
        <c:ser>
          <c:idx val="0"/>
          <c:order val="0"/>
          <c:spPr>
            <a:ln w="28575">
              <a:noFill/>
            </a:ln>
          </c:spPr>
          <c:marker>
            <c:symbol val="diamond"/>
            <c:size val="5"/>
            <c:spPr>
              <a:solidFill>
                <a:srgbClr val="000090"/>
              </a:solidFill>
              <a:ln>
                <a:solidFill>
                  <a:srgbClr val="000090"/>
                </a:solidFill>
                <a:prstDash val="solid"/>
              </a:ln>
            </c:spPr>
          </c:marker>
          <c:xVal>
            <c:numRef>
              <c:f>'T-tests'!$A$5:$A$18</c:f>
              <c:numCache>
                <c:formatCode>General</c:formatCode>
                <c:ptCount val="14"/>
              </c:numCache>
            </c:numRef>
          </c:xVal>
          <c:yVal>
            <c:numRef>
              <c:f>'T-tests'!$B$5:$B$18</c:f>
              <c:numCache>
                <c:formatCode>General</c:formatCode>
                <c:ptCount val="14"/>
                <c:pt idx="0">
                  <c:v>25</c:v>
                </c:pt>
                <c:pt idx="1">
                  <c:v>25</c:v>
                </c:pt>
                <c:pt idx="2">
                  <c:v>27</c:v>
                </c:pt>
                <c:pt idx="3">
                  <c:v>34</c:v>
                </c:pt>
                <c:pt idx="4">
                  <c:v>38</c:v>
                </c:pt>
                <c:pt idx="5">
                  <c:v>30</c:v>
                </c:pt>
                <c:pt idx="6">
                  <c:v>25</c:v>
                </c:pt>
                <c:pt idx="7">
                  <c:v>28</c:v>
                </c:pt>
                <c:pt idx="8">
                  <c:v>29</c:v>
                </c:pt>
                <c:pt idx="9">
                  <c:v>32</c:v>
                </c:pt>
                <c:pt idx="10">
                  <c:v>27</c:v>
                </c:pt>
                <c:pt idx="11">
                  <c:v>28</c:v>
                </c:pt>
                <c:pt idx="12">
                  <c:v>30</c:v>
                </c:pt>
                <c:pt idx="13">
                  <c:v>31</c:v>
                </c:pt>
              </c:numCache>
            </c:numRef>
          </c:yVal>
          <c:smooth val="0"/>
        </c:ser>
        <c:dLbls>
          <c:showLegendKey val="0"/>
          <c:showVal val="0"/>
          <c:showCatName val="0"/>
          <c:showSerName val="0"/>
          <c:showPercent val="0"/>
          <c:showBubbleSize val="0"/>
        </c:dLbls>
        <c:axId val="382954344"/>
        <c:axId val="382953560"/>
      </c:scatterChart>
      <c:valAx>
        <c:axId val="382954344"/>
        <c:scaling>
          <c:orientation val="minMax"/>
          <c:max val="2.2000000000000002"/>
          <c:min val="0.8"/>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450" b="0" i="0" u="none" strike="noStrike" baseline="0">
                <a:solidFill>
                  <a:srgbClr val="FFFFFF"/>
                </a:solidFill>
                <a:latin typeface="Arial"/>
                <a:ea typeface="Arial"/>
                <a:cs typeface="Arial"/>
              </a:defRPr>
            </a:pPr>
            <a:endParaRPr lang="en-US"/>
          </a:p>
        </c:txPr>
        <c:crossAx val="382953560"/>
        <c:crosses val="autoZero"/>
        <c:crossBetween val="midCat"/>
        <c:majorUnit val="1"/>
      </c:valAx>
      <c:valAx>
        <c:axId val="382953560"/>
        <c:scaling>
          <c:orientation val="minMax"/>
          <c:min val="2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450" b="0" i="0" u="none" strike="noStrike" baseline="0">
                <a:solidFill>
                  <a:srgbClr val="000000"/>
                </a:solidFill>
                <a:latin typeface="Arial"/>
                <a:ea typeface="Arial"/>
                <a:cs typeface="Arial"/>
              </a:defRPr>
            </a:pPr>
            <a:endParaRPr lang="en-US"/>
          </a:p>
        </c:txPr>
        <c:crossAx val="382954344"/>
        <c:crosses val="autoZero"/>
        <c:crossBetween val="midCat"/>
        <c:majorUnit val="5"/>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4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213114754098366E-2"/>
          <c:y val="0.10276699675572187"/>
          <c:w val="0.69672131147540983"/>
          <c:h val="0.71936897729005311"/>
        </c:manualLayout>
      </c:layout>
      <c:barChart>
        <c:barDir val="col"/>
        <c:grouping val="clustered"/>
        <c:varyColors val="0"/>
        <c:ser>
          <c:idx val="0"/>
          <c:order val="0"/>
          <c:tx>
            <c:strRef>
              <c:f>'T-test (Unpaired)'!$S$2</c:f>
              <c:strCache>
                <c:ptCount val="1"/>
                <c:pt idx="0">
                  <c:v>Freq. failed</c:v>
                </c:pt>
              </c:strCache>
            </c:strRef>
          </c:tx>
          <c:spPr>
            <a:solidFill>
              <a:srgbClr val="9999FF"/>
            </a:solidFill>
            <a:ln w="12700">
              <a:solidFill>
                <a:srgbClr val="000000"/>
              </a:solidFill>
              <a:prstDash val="solid"/>
            </a:ln>
          </c:spPr>
          <c:invertIfNegative val="0"/>
          <c:cat>
            <c:strRef>
              <c:f>'T-test (Unpaired)'!$R$3:$R$8</c:f>
              <c:strCache>
                <c:ptCount val="6"/>
                <c:pt idx="0">
                  <c:v>10-20</c:v>
                </c:pt>
                <c:pt idx="1">
                  <c:v>21-30</c:v>
                </c:pt>
                <c:pt idx="2">
                  <c:v>31-40</c:v>
                </c:pt>
                <c:pt idx="3">
                  <c:v>41-50</c:v>
                </c:pt>
                <c:pt idx="4">
                  <c:v>51-60</c:v>
                </c:pt>
                <c:pt idx="5">
                  <c:v>61-70</c:v>
                </c:pt>
              </c:strCache>
            </c:strRef>
          </c:cat>
          <c:val>
            <c:numRef>
              <c:f>'T-test (Unpaired)'!$S$3:$S$8</c:f>
              <c:numCache>
                <c:formatCode>General</c:formatCode>
                <c:ptCount val="6"/>
                <c:pt idx="0">
                  <c:v>1</c:v>
                </c:pt>
                <c:pt idx="2">
                  <c:v>4</c:v>
                </c:pt>
                <c:pt idx="4">
                  <c:v>2</c:v>
                </c:pt>
                <c:pt idx="5">
                  <c:v>1</c:v>
                </c:pt>
              </c:numCache>
            </c:numRef>
          </c:val>
        </c:ser>
        <c:ser>
          <c:idx val="1"/>
          <c:order val="1"/>
          <c:tx>
            <c:strRef>
              <c:f>'T-test (Unpaired)'!$T$2</c:f>
              <c:strCache>
                <c:ptCount val="1"/>
                <c:pt idx="0">
                  <c:v>Freq OK</c:v>
                </c:pt>
              </c:strCache>
            </c:strRef>
          </c:tx>
          <c:spPr>
            <a:solidFill>
              <a:srgbClr val="993366"/>
            </a:solidFill>
            <a:ln w="12700">
              <a:solidFill>
                <a:srgbClr val="000000"/>
              </a:solidFill>
              <a:prstDash val="solid"/>
            </a:ln>
          </c:spPr>
          <c:invertIfNegative val="0"/>
          <c:cat>
            <c:strRef>
              <c:f>'T-test (Unpaired)'!$R$3:$R$8</c:f>
              <c:strCache>
                <c:ptCount val="6"/>
                <c:pt idx="0">
                  <c:v>10-20</c:v>
                </c:pt>
                <c:pt idx="1">
                  <c:v>21-30</c:v>
                </c:pt>
                <c:pt idx="2">
                  <c:v>31-40</c:v>
                </c:pt>
                <c:pt idx="3">
                  <c:v>41-50</c:v>
                </c:pt>
                <c:pt idx="4">
                  <c:v>51-60</c:v>
                </c:pt>
                <c:pt idx="5">
                  <c:v>61-70</c:v>
                </c:pt>
              </c:strCache>
            </c:strRef>
          </c:cat>
          <c:val>
            <c:numRef>
              <c:f>'T-test (Unpaired)'!$T$3:$T$8</c:f>
              <c:numCache>
                <c:formatCode>General</c:formatCode>
                <c:ptCount val="6"/>
                <c:pt idx="0">
                  <c:v>1</c:v>
                </c:pt>
                <c:pt idx="1">
                  <c:v>1</c:v>
                </c:pt>
                <c:pt idx="2">
                  <c:v>1</c:v>
                </c:pt>
              </c:numCache>
            </c:numRef>
          </c:val>
        </c:ser>
        <c:dLbls>
          <c:showLegendKey val="0"/>
          <c:showVal val="0"/>
          <c:showCatName val="0"/>
          <c:showSerName val="0"/>
          <c:showPercent val="0"/>
          <c:showBubbleSize val="0"/>
        </c:dLbls>
        <c:gapWidth val="150"/>
        <c:axId val="382955128"/>
        <c:axId val="382957480"/>
      </c:barChart>
      <c:catAx>
        <c:axId val="3829551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82957480"/>
        <c:crosses val="autoZero"/>
        <c:auto val="1"/>
        <c:lblAlgn val="ctr"/>
        <c:lblOffset val="100"/>
        <c:tickLblSkip val="1"/>
        <c:tickMarkSkip val="1"/>
        <c:noMultiLvlLbl val="0"/>
      </c:catAx>
      <c:valAx>
        <c:axId val="38295748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82955128"/>
        <c:crosses val="autoZero"/>
        <c:crossBetween val="between"/>
      </c:valAx>
      <c:spPr>
        <a:solidFill>
          <a:srgbClr val="C0C0C0"/>
        </a:solidFill>
        <a:ln w="12700">
          <a:solidFill>
            <a:srgbClr val="808080"/>
          </a:solidFill>
          <a:prstDash val="solid"/>
        </a:ln>
      </c:spPr>
    </c:plotArea>
    <c:legend>
      <c:legendPos val="r"/>
      <c:layout>
        <c:manualLayout>
          <c:xMode val="edge"/>
          <c:yMode val="edge"/>
          <c:x val="0.81344648095458649"/>
          <c:y val="0.38905775075987842"/>
          <c:w val="0.17647080879595933"/>
          <c:h val="0.16413373860182373"/>
        </c:manualLayout>
      </c:layout>
      <c:overlay val="0"/>
      <c:spPr>
        <a:solidFill>
          <a:srgbClr val="FFFFFF"/>
        </a:solidFill>
        <a:ln w="3175">
          <a:solidFill>
            <a:srgbClr val="000000"/>
          </a:solidFill>
          <a:prstDash val="solid"/>
        </a:ln>
      </c:spPr>
      <c:txPr>
        <a:bodyPr/>
        <a:lstStyle/>
        <a:p>
          <a:pPr>
            <a:defRPr sz="7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586994727592267"/>
          <c:y val="0.10037174721189591"/>
          <c:w val="0.81195079086115995"/>
          <c:h val="0.63568773234200748"/>
        </c:manualLayout>
      </c:layout>
      <c:scatterChart>
        <c:scatterStyle val="lineMarker"/>
        <c:varyColors val="0"/>
        <c:ser>
          <c:idx val="0"/>
          <c:order val="0"/>
          <c:spPr>
            <a:ln w="28575">
              <a:noFill/>
            </a:ln>
          </c:spPr>
          <c:marker>
            <c:symbol val="diamond"/>
            <c:size val="5"/>
            <c:spPr>
              <a:solidFill>
                <a:srgbClr val="000090"/>
              </a:solidFill>
              <a:ln>
                <a:solidFill>
                  <a:srgbClr val="000090"/>
                </a:solidFill>
                <a:prstDash val="solid"/>
              </a:ln>
            </c:spPr>
          </c:marker>
          <c:xVal>
            <c:numRef>
              <c:f>'Correlation &amp; Linear Regression'!$B$4:$B$11</c:f>
              <c:numCache>
                <c:formatCode>General</c:formatCode>
                <c:ptCount val="8"/>
                <c:pt idx="0">
                  <c:v>1</c:v>
                </c:pt>
                <c:pt idx="1">
                  <c:v>2</c:v>
                </c:pt>
                <c:pt idx="2">
                  <c:v>3</c:v>
                </c:pt>
                <c:pt idx="3">
                  <c:v>4</c:v>
                </c:pt>
                <c:pt idx="4">
                  <c:v>5</c:v>
                </c:pt>
                <c:pt idx="5">
                  <c:v>8</c:v>
                </c:pt>
                <c:pt idx="6">
                  <c:v>9</c:v>
                </c:pt>
                <c:pt idx="7">
                  <c:v>10</c:v>
                </c:pt>
              </c:numCache>
            </c:numRef>
          </c:xVal>
          <c:yVal>
            <c:numRef>
              <c:f>'Correlation &amp; Linear Regression'!$C$4:$C$11</c:f>
              <c:numCache>
                <c:formatCode>General</c:formatCode>
                <c:ptCount val="8"/>
                <c:pt idx="0">
                  <c:v>200</c:v>
                </c:pt>
                <c:pt idx="1">
                  <c:v>850</c:v>
                </c:pt>
                <c:pt idx="2">
                  <c:v>1300</c:v>
                </c:pt>
                <c:pt idx="3">
                  <c:v>1500</c:v>
                </c:pt>
                <c:pt idx="4">
                  <c:v>1578</c:v>
                </c:pt>
                <c:pt idx="5">
                  <c:v>3000</c:v>
                </c:pt>
                <c:pt idx="6">
                  <c:v>3600</c:v>
                </c:pt>
                <c:pt idx="7">
                  <c:v>5900</c:v>
                </c:pt>
              </c:numCache>
            </c:numRef>
          </c:yVal>
          <c:smooth val="0"/>
        </c:ser>
        <c:ser>
          <c:idx val="1"/>
          <c:order val="1"/>
          <c:spPr>
            <a:ln w="3175">
              <a:solidFill>
                <a:srgbClr val="F20884"/>
              </a:solidFill>
              <a:prstDash val="solid"/>
            </a:ln>
          </c:spPr>
          <c:marker>
            <c:symbol val="square"/>
            <c:size val="3"/>
            <c:spPr>
              <a:solidFill>
                <a:srgbClr val="F20884"/>
              </a:solidFill>
              <a:ln>
                <a:solidFill>
                  <a:srgbClr val="F20884"/>
                </a:solidFill>
                <a:prstDash val="solid"/>
              </a:ln>
            </c:spPr>
          </c:marker>
          <c:xVal>
            <c:numRef>
              <c:f>'Correlation &amp; Linear Regression'!$B$4:$B$11</c:f>
              <c:numCache>
                <c:formatCode>General</c:formatCode>
                <c:ptCount val="8"/>
                <c:pt idx="0">
                  <c:v>1</c:v>
                </c:pt>
                <c:pt idx="1">
                  <c:v>2</c:v>
                </c:pt>
                <c:pt idx="2">
                  <c:v>3</c:v>
                </c:pt>
                <c:pt idx="3">
                  <c:v>4</c:v>
                </c:pt>
                <c:pt idx="4">
                  <c:v>5</c:v>
                </c:pt>
                <c:pt idx="5">
                  <c:v>8</c:v>
                </c:pt>
                <c:pt idx="6">
                  <c:v>9</c:v>
                </c:pt>
                <c:pt idx="7">
                  <c:v>10</c:v>
                </c:pt>
              </c:numCache>
            </c:numRef>
          </c:xVal>
          <c:yVal>
            <c:numRef>
              <c:f>'Correlation &amp; Linear Regression'!$E$4:$E$11</c:f>
              <c:numCache>
                <c:formatCode>General</c:formatCode>
                <c:ptCount val="8"/>
                <c:pt idx="0">
                  <c:v>50.88679245283015</c:v>
                </c:pt>
                <c:pt idx="1">
                  <c:v>566.20754716981128</c:v>
                </c:pt>
                <c:pt idx="2">
                  <c:v>1081.5283018867924</c:v>
                </c:pt>
                <c:pt idx="3">
                  <c:v>1596.8490566037735</c:v>
                </c:pt>
                <c:pt idx="4">
                  <c:v>2112.1698113207549</c:v>
                </c:pt>
                <c:pt idx="5">
                  <c:v>3658.132075471698</c:v>
                </c:pt>
                <c:pt idx="6">
                  <c:v>4173.4528301886794</c:v>
                </c:pt>
                <c:pt idx="7">
                  <c:v>4688.7735849056608</c:v>
                </c:pt>
              </c:numCache>
            </c:numRef>
          </c:yVal>
          <c:smooth val="0"/>
        </c:ser>
        <c:dLbls>
          <c:showLegendKey val="0"/>
          <c:showVal val="0"/>
          <c:showCatName val="0"/>
          <c:showSerName val="0"/>
          <c:showPercent val="0"/>
          <c:showBubbleSize val="0"/>
        </c:dLbls>
        <c:axId val="382956696"/>
        <c:axId val="382953952"/>
      </c:scatterChart>
      <c:valAx>
        <c:axId val="382956696"/>
        <c:scaling>
          <c:orientation val="minMax"/>
        </c:scaling>
        <c:delete val="0"/>
        <c:axPos val="b"/>
        <c:title>
          <c:tx>
            <c:rich>
              <a:bodyPr/>
              <a:lstStyle/>
              <a:p>
                <a:pPr>
                  <a:defRPr sz="1075" b="1" i="0" u="none" strike="noStrike" baseline="0">
                    <a:solidFill>
                      <a:srgbClr val="000000"/>
                    </a:solidFill>
                    <a:latin typeface="Arial"/>
                    <a:ea typeface="Arial"/>
                    <a:cs typeface="Arial"/>
                  </a:defRPr>
                </a:pPr>
                <a:r>
                  <a:rPr lang="en-US"/>
                  <a:t>Weeks</a:t>
                </a:r>
              </a:p>
            </c:rich>
          </c:tx>
          <c:layout>
            <c:manualLayout>
              <c:xMode val="edge"/>
              <c:yMode val="edge"/>
              <c:x val="0.5079085607861249"/>
              <c:y val="0.8550187476565429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en-US"/>
          </a:p>
        </c:txPr>
        <c:crossAx val="382953952"/>
        <c:crosses val="autoZero"/>
        <c:crossBetween val="midCat"/>
      </c:valAx>
      <c:valAx>
        <c:axId val="382953952"/>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Savings</a:t>
                </a:r>
              </a:p>
            </c:rich>
          </c:tx>
          <c:layout>
            <c:manualLayout>
              <c:xMode val="edge"/>
              <c:yMode val="edge"/>
              <c:x val="2.8119285518494741E-2"/>
              <c:y val="0.3159850018747656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en-US"/>
          </a:p>
        </c:txPr>
        <c:crossAx val="382956696"/>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Survival Curve</a:t>
            </a:r>
          </a:p>
        </c:rich>
      </c:tx>
      <c:layout>
        <c:manualLayout>
          <c:xMode val="edge"/>
          <c:yMode val="edge"/>
          <c:x val="0.38641296291451943"/>
          <c:y val="4.2070782818814316E-2"/>
        </c:manualLayout>
      </c:layout>
      <c:overlay val="0"/>
      <c:spPr>
        <a:noFill/>
        <a:ln w="25400">
          <a:noFill/>
        </a:ln>
      </c:spPr>
    </c:title>
    <c:autoTitleDeleted val="0"/>
    <c:plotArea>
      <c:layout>
        <c:manualLayout>
          <c:layoutTarget val="inner"/>
          <c:xMode val="edge"/>
          <c:yMode val="edge"/>
          <c:x val="0.19532949204131014"/>
          <c:y val="0.2233016765956102"/>
          <c:w val="0.43312191713507897"/>
          <c:h val="0.51780098920721207"/>
        </c:manualLayout>
      </c:layout>
      <c:lineChart>
        <c:grouping val="standard"/>
        <c:varyColors val="0"/>
        <c:ser>
          <c:idx val="0"/>
          <c:order val="0"/>
          <c:tx>
            <c:strRef>
              <c:f>'Survival Curve'!$I$7</c:f>
              <c:strCache>
                <c:ptCount val="1"/>
                <c:pt idx="0">
                  <c:v>Cumulative Surv. Prob.</c:v>
                </c:pt>
              </c:strCache>
            </c:strRef>
          </c:tx>
          <c:spPr>
            <a:ln w="12700">
              <a:solidFill>
                <a:srgbClr val="000090"/>
              </a:solidFill>
              <a:prstDash val="solid"/>
            </a:ln>
          </c:spPr>
          <c:marker>
            <c:symbol val="none"/>
          </c:marker>
          <c:val>
            <c:numRef>
              <c:f>'Survival Curve'!$I$8:$I$18</c:f>
              <c:numCache>
                <c:formatCode>0.0000</c:formatCode>
                <c:ptCount val="11"/>
                <c:pt idx="0">
                  <c:v>0.93877551020408168</c:v>
                </c:pt>
                <c:pt idx="1">
                  <c:v>0.87440233236151599</c:v>
                </c:pt>
                <c:pt idx="2">
                  <c:v>0.84077147342453462</c:v>
                </c:pt>
                <c:pt idx="3">
                  <c:v>0.78114229091215626</c:v>
                </c:pt>
                <c:pt idx="4">
                  <c:v>0.72773085221730793</c:v>
                </c:pt>
                <c:pt idx="5">
                  <c:v>0.65495776699557717</c:v>
                </c:pt>
                <c:pt idx="6">
                  <c:v>0.60703402794712036</c:v>
                </c:pt>
                <c:pt idx="7">
                  <c:v>0.60703402794712036</c:v>
                </c:pt>
                <c:pt idx="8">
                  <c:v>0.46771474284450254</c:v>
                </c:pt>
                <c:pt idx="9">
                  <c:v>0.35078605713337691</c:v>
                </c:pt>
                <c:pt idx="10">
                  <c:v>0.12923696841755991</c:v>
                </c:pt>
              </c:numCache>
            </c:numRef>
          </c:val>
          <c:smooth val="0"/>
        </c:ser>
        <c:ser>
          <c:idx val="1"/>
          <c:order val="1"/>
          <c:tx>
            <c:strRef>
              <c:f>'Survival Curve'!$J$7</c:f>
              <c:strCache>
                <c:ptCount val="1"/>
                <c:pt idx="0">
                  <c:v>95% Lower Bound</c:v>
                </c:pt>
              </c:strCache>
            </c:strRef>
          </c:tx>
          <c:spPr>
            <a:ln w="12700">
              <a:solidFill>
                <a:srgbClr val="F20884"/>
              </a:solidFill>
              <a:prstDash val="solid"/>
            </a:ln>
          </c:spPr>
          <c:marker>
            <c:symbol val="none"/>
          </c:marker>
          <c:val>
            <c:numRef>
              <c:f>'Survival Curve'!$J$8:$J$18</c:f>
              <c:numCache>
                <c:formatCode>0.0000</c:formatCode>
                <c:ptCount val="11"/>
                <c:pt idx="0">
                  <c:v>0.87280757114248475</c:v>
                </c:pt>
                <c:pt idx="1">
                  <c:v>0.79307869146920551</c:v>
                </c:pt>
                <c:pt idx="2">
                  <c:v>0.75354498517394908</c:v>
                </c:pt>
                <c:pt idx="3">
                  <c:v>0.68536631519737057</c:v>
                </c:pt>
                <c:pt idx="4">
                  <c:v>0.62535135935783104</c:v>
                </c:pt>
                <c:pt idx="5">
                  <c:v>0.54590219612927271</c:v>
                </c:pt>
                <c:pt idx="6">
                  <c:v>0.49471236941266272</c:v>
                </c:pt>
                <c:pt idx="7">
                  <c:v>0.49471236941266272</c:v>
                </c:pt>
                <c:pt idx="8">
                  <c:v>0.34931491191692571</c:v>
                </c:pt>
                <c:pt idx="9">
                  <c:v>0.23637411630236926</c:v>
                </c:pt>
                <c:pt idx="10">
                  <c:v>5.16665210186176E-2</c:v>
                </c:pt>
              </c:numCache>
            </c:numRef>
          </c:val>
          <c:smooth val="0"/>
        </c:ser>
        <c:ser>
          <c:idx val="2"/>
          <c:order val="2"/>
          <c:tx>
            <c:strRef>
              <c:f>'Survival Curve'!$K$7</c:f>
              <c:strCache>
                <c:ptCount val="1"/>
                <c:pt idx="0">
                  <c:v>95% Upper Bound</c:v>
                </c:pt>
              </c:strCache>
            </c:strRef>
          </c:tx>
          <c:spPr>
            <a:ln w="12700">
              <a:solidFill>
                <a:srgbClr val="F20884"/>
              </a:solidFill>
              <a:prstDash val="solid"/>
            </a:ln>
          </c:spPr>
          <c:marker>
            <c:symbol val="none"/>
          </c:marker>
          <c:val>
            <c:numRef>
              <c:f>'Survival Curve'!$K$8:$K$18</c:f>
              <c:numCache>
                <c:formatCode>0.0000</c:formatCode>
                <c:ptCount val="11"/>
                <c:pt idx="0">
                  <c:v>0.97164106281456242</c:v>
                </c:pt>
                <c:pt idx="1">
                  <c:v>0.92671770528376374</c:v>
                </c:pt>
                <c:pt idx="2">
                  <c:v>0.90117507111199169</c:v>
                </c:pt>
                <c:pt idx="3">
                  <c:v>0.85397532250116959</c:v>
                </c:pt>
                <c:pt idx="4">
                  <c:v>0.81060641569085423</c:v>
                </c:pt>
                <c:pt idx="5">
                  <c:v>0.74982527395780119</c:v>
                </c:pt>
                <c:pt idx="6">
                  <c:v>0.70907070105447789</c:v>
                </c:pt>
                <c:pt idx="7">
                  <c:v>0.70907070105447789</c:v>
                </c:pt>
                <c:pt idx="8">
                  <c:v>0.58986565568115368</c:v>
                </c:pt>
                <c:pt idx="9">
                  <c:v>0.48537682208779009</c:v>
                </c:pt>
                <c:pt idx="10">
                  <c:v>0.28791168034619596</c:v>
                </c:pt>
              </c:numCache>
            </c:numRef>
          </c:val>
          <c:smooth val="0"/>
        </c:ser>
        <c:dLbls>
          <c:showLegendKey val="0"/>
          <c:showVal val="0"/>
          <c:showCatName val="0"/>
          <c:showSerName val="0"/>
          <c:showPercent val="0"/>
          <c:showBubbleSize val="0"/>
        </c:dLbls>
        <c:smooth val="0"/>
        <c:axId val="382951600"/>
        <c:axId val="381848976"/>
      </c:lineChart>
      <c:catAx>
        <c:axId val="382951600"/>
        <c:scaling>
          <c:orientation val="minMax"/>
        </c:scaling>
        <c:delete val="0"/>
        <c:axPos val="b"/>
        <c:title>
          <c:tx>
            <c:rich>
              <a:bodyPr/>
              <a:lstStyle/>
              <a:p>
                <a:pPr>
                  <a:defRPr sz="1175" b="1" i="0" u="none" strike="noStrike" baseline="0">
                    <a:solidFill>
                      <a:srgbClr val="000000"/>
                    </a:solidFill>
                    <a:latin typeface="Arial"/>
                    <a:ea typeface="Arial"/>
                    <a:cs typeface="Arial"/>
                  </a:defRPr>
                </a:pPr>
                <a:r>
                  <a:rPr lang="en-US"/>
                  <a:t>Time Period</a:t>
                </a:r>
              </a:p>
            </c:rich>
          </c:tx>
          <c:layout>
            <c:manualLayout>
              <c:xMode val="edge"/>
              <c:yMode val="edge"/>
              <c:x val="0.30997942117700406"/>
              <c:y val="0.8576080767681816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75" b="0" i="0" u="none" strike="noStrike" baseline="0">
                <a:solidFill>
                  <a:srgbClr val="000000"/>
                </a:solidFill>
                <a:latin typeface="Arial"/>
                <a:ea typeface="Arial"/>
                <a:cs typeface="Arial"/>
              </a:defRPr>
            </a:pPr>
            <a:endParaRPr lang="en-US"/>
          </a:p>
        </c:txPr>
        <c:crossAx val="381848976"/>
        <c:crosses val="autoZero"/>
        <c:auto val="1"/>
        <c:lblAlgn val="ctr"/>
        <c:lblOffset val="100"/>
        <c:tickLblSkip val="2"/>
        <c:tickMarkSkip val="1"/>
        <c:noMultiLvlLbl val="0"/>
      </c:catAx>
      <c:valAx>
        <c:axId val="381848976"/>
        <c:scaling>
          <c:orientation val="minMax"/>
          <c:max val="1"/>
        </c:scaling>
        <c:delete val="0"/>
        <c:axPos val="l"/>
        <c:majorGridlines>
          <c:spPr>
            <a:ln w="3175">
              <a:solidFill>
                <a:srgbClr val="000000"/>
              </a:solidFill>
              <a:prstDash val="solid"/>
            </a:ln>
          </c:spPr>
        </c:majorGridlines>
        <c:title>
          <c:tx>
            <c:rich>
              <a:bodyPr/>
              <a:lstStyle/>
              <a:p>
                <a:pPr>
                  <a:defRPr sz="1175" b="1" i="0" u="none" strike="noStrike" baseline="0">
                    <a:solidFill>
                      <a:srgbClr val="000000"/>
                    </a:solidFill>
                    <a:latin typeface="Arial"/>
                    <a:ea typeface="Arial"/>
                    <a:cs typeface="Arial"/>
                  </a:defRPr>
                </a:pPr>
                <a:r>
                  <a:rPr lang="en-US"/>
                  <a:t>Survival Probability</a:t>
                </a:r>
              </a:p>
            </c:rich>
          </c:tx>
          <c:layout>
            <c:manualLayout>
              <c:xMode val="edge"/>
              <c:yMode val="edge"/>
              <c:x val="3.3970317663780399E-2"/>
              <c:y val="0.23301010984738019"/>
            </c:manualLayout>
          </c:layout>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1175" b="0" i="0" u="none" strike="noStrike" baseline="0">
                <a:solidFill>
                  <a:srgbClr val="000000"/>
                </a:solidFill>
                <a:latin typeface="Arial"/>
                <a:ea typeface="Arial"/>
                <a:cs typeface="Arial"/>
              </a:defRPr>
            </a:pPr>
            <a:endParaRPr lang="en-US"/>
          </a:p>
        </c:txPr>
        <c:crossAx val="382951600"/>
        <c:crosses val="autoZero"/>
        <c:crossBetween val="between"/>
      </c:valAx>
      <c:spPr>
        <a:solidFill>
          <a:srgbClr val="C0C0C0"/>
        </a:solidFill>
        <a:ln w="12700">
          <a:solidFill>
            <a:srgbClr val="808080"/>
          </a:solidFill>
          <a:prstDash val="solid"/>
        </a:ln>
      </c:spPr>
    </c:plotArea>
    <c:legend>
      <c:legendPos val="r"/>
      <c:layout>
        <c:manualLayout>
          <c:xMode val="edge"/>
          <c:yMode val="edge"/>
          <c:x val="0.66279156965844388"/>
          <c:y val="0.24603244038939576"/>
          <c:w val="0.32392070177274346"/>
          <c:h val="0.42592696746240055"/>
        </c:manualLayout>
      </c:layout>
      <c:overlay val="0"/>
      <c:spPr>
        <a:solidFill>
          <a:srgbClr val="FFFFFF"/>
        </a:solidFill>
        <a:ln w="3175">
          <a:solidFill>
            <a:srgbClr val="000000"/>
          </a:solidFill>
          <a:prstDash val="solid"/>
        </a:ln>
      </c:spPr>
      <c:txPr>
        <a:bodyPr/>
        <a:lstStyle/>
        <a:p>
          <a:pPr>
            <a:defRPr sz="99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0"/>
          <c:order val="0"/>
          <c:spPr>
            <a:ln w="25400">
              <a:solidFill>
                <a:srgbClr val="666699"/>
              </a:solidFill>
              <a:prstDash val="solid"/>
            </a:ln>
          </c:spPr>
          <c:marker>
            <c:symbol val="none"/>
          </c:marker>
          <c:xVal>
            <c:numRef>
              <c:f>'Case-Control'!$H$88:$H$146</c:f>
              <c:numCache>
                <c:formatCode>General</c:formatCode>
                <c:ptCount val="59"/>
                <c:pt idx="0">
                  <c:v>1.9832929882426173</c:v>
                </c:pt>
                <c:pt idx="1">
                  <c:v>2.0047162897135014</c:v>
                </c:pt>
                <c:pt idx="2">
                  <c:v>2.0263710032090496</c:v>
                </c:pt>
                <c:pt idx="3">
                  <c:v>2.0482596284151882</c:v>
                </c:pt>
                <c:pt idx="4">
                  <c:v>2.0703846920191595</c:v>
                </c:pt>
                <c:pt idx="5">
                  <c:v>2.0927487480011915</c:v>
                </c:pt>
                <c:pt idx="6">
                  <c:v>2.11535437792931</c:v>
                </c:pt>
                <c:pt idx="7">
                  <c:v>2.1382041912573393</c:v>
                </c:pt>
                <c:pt idx="8">
                  <c:v>2.1613008256261237</c:v>
                </c:pt>
                <c:pt idx="9">
                  <c:v>2.1846469471679977</c:v>
                </c:pt>
                <c:pt idx="10">
                  <c:v>2.2082452508145494</c:v>
                </c:pt>
                <c:pt idx="11">
                  <c:v>2.2320984606077059</c:v>
                </c:pt>
                <c:pt idx="12">
                  <c:v>2.2562093300141806</c:v>
                </c:pt>
                <c:pt idx="13">
                  <c:v>2.2805806422433155</c:v>
                </c:pt>
                <c:pt idx="14">
                  <c:v>2.3052152105683579</c:v>
                </c:pt>
                <c:pt idx="15">
                  <c:v>2.330115878651208</c:v>
                </c:pt>
                <c:pt idx="16">
                  <c:v>2.3552855208706718</c:v>
                </c:pt>
                <c:pt idx="17">
                  <c:v>2.3807270426542635</c:v>
                </c:pt>
                <c:pt idx="18">
                  <c:v>2.4064433808135899</c:v>
                </c:pt>
                <c:pt idx="19">
                  <c:v>2.4324375038833561</c:v>
                </c:pt>
                <c:pt idx="20">
                  <c:v>2.4587124124640356</c:v>
                </c:pt>
                <c:pt idx="21">
                  <c:v>2.4852711395682414</c:v>
                </c:pt>
                <c:pt idx="22">
                  <c:v>2.5121167509708391</c:v>
                </c:pt>
                <c:pt idx="23">
                  <c:v>2.5392523455628377</c:v>
                </c:pt>
                <c:pt idx="24">
                  <c:v>2.5666810557091102</c:v>
                </c:pt>
                <c:pt idx="25">
                  <c:v>2.5944060476099722</c:v>
                </c:pt>
                <c:pt idx="26">
                  <c:v>2.6224305216666681</c:v>
                </c:pt>
                <c:pt idx="27">
                  <c:v>2.6507577128508077</c:v>
                </c:pt>
                <c:pt idx="28">
                  <c:v>2.6793908910777895</c:v>
                </c:pt>
                <c:pt idx="29">
                  <c:v>2.7083333615842586</c:v>
                </c:pt>
                <c:pt idx="30">
                  <c:v>2.7375884653096465</c:v>
                </c:pt>
                <c:pt idx="31">
                  <c:v>2.7671595792818238</c:v>
                </c:pt>
                <c:pt idx="32">
                  <c:v>2.7970501170069269</c:v>
                </c:pt>
                <c:pt idx="33">
                  <c:v>2.8272635288633907</c:v>
                </c:pt>
                <c:pt idx="34">
                  <c:v>2.8578033025002374</c:v>
                </c:pt>
                <c:pt idx="35">
                  <c:v>2.8886729632396726</c:v>
                </c:pt>
                <c:pt idx="36">
                  <c:v>2.9198760744840233</c:v>
                </c:pt>
                <c:pt idx="37">
                  <c:v>2.9514162381270759</c:v>
                </c:pt>
                <c:pt idx="38">
                  <c:v>2.9832970949698594</c:v>
                </c:pt>
                <c:pt idx="39">
                  <c:v>3.0155223251409113</c:v>
                </c:pt>
                <c:pt idx="40">
                  <c:v>3.0480956485210928</c:v>
                </c:pt>
                <c:pt idx="41">
                  <c:v>3.08102082517299</c:v>
                </c:pt>
                <c:pt idx="42">
                  <c:v>3.1143016557749474</c:v>
                </c:pt>
                <c:pt idx="43">
                  <c:v>3.1479419820597982</c:v>
                </c:pt>
                <c:pt idx="44">
                  <c:v>3.1819456872583309</c:v>
                </c:pt>
                <c:pt idx="45">
                  <c:v>3.2163166965475423</c:v>
                </c:pt>
                <c:pt idx="46">
                  <c:v>3.2510589775037362</c:v>
                </c:pt>
                <c:pt idx="47">
                  <c:v>3.2861765405605192</c:v>
                </c:pt>
                <c:pt idx="48">
                  <c:v>3.3216734394717369</c:v>
                </c:pt>
                <c:pt idx="49">
                  <c:v>3.3575537717794131</c:v>
                </c:pt>
                <c:pt idx="50">
                  <c:v>3.3938216792867504</c:v>
                </c:pt>
                <c:pt idx="51">
                  <c:v>3.4304813485362278</c:v>
                </c:pt>
                <c:pt idx="52">
                  <c:v>3.4675370112928716</c:v>
                </c:pt>
                <c:pt idx="53">
                  <c:v>3.5049929450327473</c:v>
                </c:pt>
                <c:pt idx="54">
                  <c:v>3.5428534734367192</c:v>
                </c:pt>
                <c:pt idx="55">
                  <c:v>3.581122966889553</c:v>
                </c:pt>
                <c:pt idx="56">
                  <c:v>3.6198058429844067</c:v>
                </c:pt>
                <c:pt idx="57">
                  <c:v>3.658906567032767</c:v>
                </c:pt>
                <c:pt idx="58">
                  <c:v>3.6984296525798981</c:v>
                </c:pt>
              </c:numCache>
            </c:numRef>
          </c:xVal>
          <c:yVal>
            <c:numRef>
              <c:f>'Case-Control'!$I$88:$I$146</c:f>
              <c:numCache>
                <c:formatCode>General</c:formatCode>
                <c:ptCount val="59"/>
                <c:pt idx="0">
                  <c:v>3.7312000000000001E-3</c:v>
                </c:pt>
                <c:pt idx="1">
                  <c:v>5.1098999999999997E-3</c:v>
                </c:pt>
                <c:pt idx="2">
                  <c:v>6.9335000000000004E-3</c:v>
                </c:pt>
                <c:pt idx="3">
                  <c:v>9.3220000000000004E-3</c:v>
                </c:pt>
                <c:pt idx="4">
                  <c:v>1.24189E-2</c:v>
                </c:pt>
                <c:pt idx="5">
                  <c:v>1.6394700000000002E-2</c:v>
                </c:pt>
                <c:pt idx="6">
                  <c:v>2.14478E-2</c:v>
                </c:pt>
                <c:pt idx="7">
                  <c:v>2.7806500000000001E-2</c:v>
                </c:pt>
                <c:pt idx="8">
                  <c:v>3.57284E-2</c:v>
                </c:pt>
                <c:pt idx="9">
                  <c:v>4.5499900000000003E-2</c:v>
                </c:pt>
                <c:pt idx="10">
                  <c:v>5.7432700000000003E-2</c:v>
                </c:pt>
                <c:pt idx="11">
                  <c:v>7.1860300000000002E-2</c:v>
                </c:pt>
                <c:pt idx="12">
                  <c:v>8.9130600000000004E-2</c:v>
                </c:pt>
                <c:pt idx="13">
                  <c:v>0.10959820000000001</c:v>
                </c:pt>
                <c:pt idx="14">
                  <c:v>0.13361400000000001</c:v>
                </c:pt>
                <c:pt idx="15">
                  <c:v>0.16151299999999999</c:v>
                </c:pt>
                <c:pt idx="16">
                  <c:v>0.19360060000000001</c:v>
                </c:pt>
                <c:pt idx="17">
                  <c:v>0.23013900000000001</c:v>
                </c:pt>
                <c:pt idx="18">
                  <c:v>0.27133180000000001</c:v>
                </c:pt>
                <c:pt idx="19">
                  <c:v>0.31731019999999999</c:v>
                </c:pt>
                <c:pt idx="20">
                  <c:v>0.36812</c:v>
                </c:pt>
                <c:pt idx="21">
                  <c:v>0.42371049999999999</c:v>
                </c:pt>
                <c:pt idx="22">
                  <c:v>0.4839271</c:v>
                </c:pt>
                <c:pt idx="23">
                  <c:v>0.54850600000000005</c:v>
                </c:pt>
                <c:pt idx="24">
                  <c:v>0.61707489999999998</c:v>
                </c:pt>
                <c:pt idx="25">
                  <c:v>0.68915630000000005</c:v>
                </c:pt>
                <c:pt idx="26">
                  <c:v>0.764177</c:v>
                </c:pt>
                <c:pt idx="27">
                  <c:v>0.84148049999999996</c:v>
                </c:pt>
                <c:pt idx="28">
                  <c:v>0.92034419999999995</c:v>
                </c:pt>
                <c:pt idx="29">
                  <c:v>1</c:v>
                </c:pt>
                <c:pt idx="30">
                  <c:v>0.9203443</c:v>
                </c:pt>
                <c:pt idx="31">
                  <c:v>0.84148049999999996</c:v>
                </c:pt>
                <c:pt idx="32">
                  <c:v>0.76417710000000005</c:v>
                </c:pt>
                <c:pt idx="33">
                  <c:v>0.6891564</c:v>
                </c:pt>
                <c:pt idx="34">
                  <c:v>0.61707489999999998</c:v>
                </c:pt>
                <c:pt idx="35">
                  <c:v>0.5485061</c:v>
                </c:pt>
                <c:pt idx="36">
                  <c:v>0.4839271</c:v>
                </c:pt>
                <c:pt idx="37">
                  <c:v>0.42371059999999999</c:v>
                </c:pt>
                <c:pt idx="38">
                  <c:v>0.36812</c:v>
                </c:pt>
                <c:pt idx="39">
                  <c:v>0.31731019999999999</c:v>
                </c:pt>
                <c:pt idx="40">
                  <c:v>0.27133180000000001</c:v>
                </c:pt>
                <c:pt idx="41">
                  <c:v>0.23013900000000001</c:v>
                </c:pt>
                <c:pt idx="42">
                  <c:v>0.19360069999999999</c:v>
                </c:pt>
                <c:pt idx="43">
                  <c:v>0.16151299999999999</c:v>
                </c:pt>
                <c:pt idx="44">
                  <c:v>0.13361410000000001</c:v>
                </c:pt>
                <c:pt idx="45">
                  <c:v>0.10959820000000001</c:v>
                </c:pt>
                <c:pt idx="46">
                  <c:v>8.9130600000000004E-2</c:v>
                </c:pt>
                <c:pt idx="47">
                  <c:v>7.1860300000000002E-2</c:v>
                </c:pt>
                <c:pt idx="48">
                  <c:v>5.7432700000000003E-2</c:v>
                </c:pt>
                <c:pt idx="49">
                  <c:v>4.5499900000000003E-2</c:v>
                </c:pt>
                <c:pt idx="50">
                  <c:v>3.5728500000000003E-2</c:v>
                </c:pt>
                <c:pt idx="51">
                  <c:v>2.7806500000000001E-2</c:v>
                </c:pt>
                <c:pt idx="52">
                  <c:v>2.14478E-2</c:v>
                </c:pt>
                <c:pt idx="53">
                  <c:v>1.6394700000000002E-2</c:v>
                </c:pt>
                <c:pt idx="54">
                  <c:v>1.24189E-2</c:v>
                </c:pt>
                <c:pt idx="55">
                  <c:v>9.3220000000000004E-3</c:v>
                </c:pt>
                <c:pt idx="56">
                  <c:v>6.9335000000000004E-3</c:v>
                </c:pt>
                <c:pt idx="57">
                  <c:v>5.1098999999999997E-3</c:v>
                </c:pt>
                <c:pt idx="58">
                  <c:v>3.7312000000000001E-3</c:v>
                </c:pt>
              </c:numCache>
            </c:numRef>
          </c:yVal>
          <c:smooth val="1"/>
        </c:ser>
        <c:dLbls>
          <c:showLegendKey val="0"/>
          <c:showVal val="0"/>
          <c:showCatName val="0"/>
          <c:showSerName val="0"/>
          <c:showPercent val="0"/>
          <c:showBubbleSize val="0"/>
        </c:dLbls>
        <c:axId val="305324368"/>
        <c:axId val="305324760"/>
      </c:scatterChart>
      <c:valAx>
        <c:axId val="305324368"/>
        <c:scaling>
          <c:logBase val="10"/>
          <c:orientation val="minMax"/>
          <c:max val="100"/>
          <c:min val="0.01"/>
        </c:scaling>
        <c:delete val="0"/>
        <c:axPos val="b"/>
        <c:title>
          <c:tx>
            <c:rich>
              <a:bodyPr/>
              <a:lstStyle/>
              <a:p>
                <a:pPr>
                  <a:defRPr sz="1000" b="1" i="0" u="none" strike="noStrike" baseline="0">
                    <a:solidFill>
                      <a:srgbClr val="000000"/>
                    </a:solidFill>
                    <a:latin typeface="Calibri"/>
                    <a:ea typeface="Calibri"/>
                    <a:cs typeface="Calibri"/>
                  </a:defRPr>
                </a:pPr>
                <a:r>
                  <a:rPr lang="en-US"/>
                  <a:t>Odds Ratio (log scale)</a:t>
                </a:r>
              </a:p>
            </c:rich>
          </c:tx>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305324760"/>
        <c:crosses val="autoZero"/>
        <c:crossBetween val="midCat"/>
        <c:majorUnit val="10"/>
        <c:minorUnit val="10"/>
      </c:valAx>
      <c:valAx>
        <c:axId val="305324760"/>
        <c:scaling>
          <c:orientation val="minMax"/>
          <c:max val="1"/>
          <c:min val="0"/>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Calibri"/>
                    <a:ea typeface="Calibri"/>
                    <a:cs typeface="Calibri"/>
                  </a:defRPr>
                </a:pPr>
                <a:r>
                  <a:rPr lang="en-US"/>
                  <a:t>p-- value</a:t>
                </a:r>
              </a:p>
            </c:rich>
          </c:tx>
          <c:layout/>
          <c:overlay val="0"/>
          <c:spPr>
            <a:noFill/>
            <a:ln w="25400">
              <a:noFill/>
            </a:ln>
          </c:spPr>
        </c:title>
        <c:numFmt formatCode="#,##0.0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305324368"/>
        <c:crossesAt val="0.01"/>
        <c:crossBetween val="midCat"/>
        <c:majorUnit val="5.000000000000001E-2"/>
        <c:minorUnit val="5.000000000000001E-2"/>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0"/>
          <c:order val="0"/>
          <c:tx>
            <c:strRef>
              <c:f>'IR &amp; CI'!$M$2:$M$3</c:f>
              <c:strCache>
                <c:ptCount val="2"/>
                <c:pt idx="0">
                  <c:v>Predicted # Deaths</c:v>
                </c:pt>
                <c:pt idx="1">
                  <c:v>CI=IR*T</c:v>
                </c:pt>
              </c:strCache>
            </c:strRef>
          </c:tx>
          <c:spPr>
            <a:ln w="25400">
              <a:solidFill>
                <a:srgbClr val="666699"/>
              </a:solidFill>
              <a:prstDash val="solid"/>
            </a:ln>
          </c:spPr>
          <c:marker>
            <c:symbol val="none"/>
          </c:marker>
          <c:xVal>
            <c:numRef>
              <c:f>'IR &amp; CI'!$L$4:$L$21</c:f>
              <c:numCache>
                <c:formatCode>General</c:formatCode>
                <c:ptCount val="18"/>
                <c:pt idx="0">
                  <c:v>1</c:v>
                </c:pt>
                <c:pt idx="1">
                  <c:v>2</c:v>
                </c:pt>
                <c:pt idx="2">
                  <c:v>3</c:v>
                </c:pt>
                <c:pt idx="3">
                  <c:v>4</c:v>
                </c:pt>
                <c:pt idx="4">
                  <c:v>5</c:v>
                </c:pt>
                <c:pt idx="5">
                  <c:v>6</c:v>
                </c:pt>
                <c:pt idx="6">
                  <c:v>7</c:v>
                </c:pt>
                <c:pt idx="7">
                  <c:v>8</c:v>
                </c:pt>
                <c:pt idx="8">
                  <c:v>9</c:v>
                </c:pt>
                <c:pt idx="9">
                  <c:v>10</c:v>
                </c:pt>
                <c:pt idx="10">
                  <c:v>15</c:v>
                </c:pt>
                <c:pt idx="11">
                  <c:v>20</c:v>
                </c:pt>
                <c:pt idx="12">
                  <c:v>25</c:v>
                </c:pt>
                <c:pt idx="13">
                  <c:v>30</c:v>
                </c:pt>
                <c:pt idx="14">
                  <c:v>35</c:v>
                </c:pt>
                <c:pt idx="15">
                  <c:v>40</c:v>
                </c:pt>
                <c:pt idx="16">
                  <c:v>45</c:v>
                </c:pt>
                <c:pt idx="17">
                  <c:v>50</c:v>
                </c:pt>
              </c:numCache>
            </c:numRef>
          </c:xVal>
          <c:yVal>
            <c:numRef>
              <c:f>'IR &amp; CI'!$M$4:$M$21</c:f>
              <c:numCache>
                <c:formatCode>0.0</c:formatCode>
                <c:ptCount val="18"/>
                <c:pt idx="0">
                  <c:v>11</c:v>
                </c:pt>
                <c:pt idx="1">
                  <c:v>22</c:v>
                </c:pt>
                <c:pt idx="2">
                  <c:v>33</c:v>
                </c:pt>
                <c:pt idx="3">
                  <c:v>44</c:v>
                </c:pt>
                <c:pt idx="4">
                  <c:v>54.999999999999993</c:v>
                </c:pt>
                <c:pt idx="5">
                  <c:v>66</c:v>
                </c:pt>
                <c:pt idx="6">
                  <c:v>77</c:v>
                </c:pt>
                <c:pt idx="7">
                  <c:v>88</c:v>
                </c:pt>
                <c:pt idx="8">
                  <c:v>98.999999999999986</c:v>
                </c:pt>
                <c:pt idx="9">
                  <c:v>109.99999999999999</c:v>
                </c:pt>
                <c:pt idx="10">
                  <c:v>164.99999999999997</c:v>
                </c:pt>
                <c:pt idx="11">
                  <c:v>219.99999999999997</c:v>
                </c:pt>
                <c:pt idx="12">
                  <c:v>274.99999999999994</c:v>
                </c:pt>
                <c:pt idx="13">
                  <c:v>329.99999999999994</c:v>
                </c:pt>
                <c:pt idx="14">
                  <c:v>384.99999999999994</c:v>
                </c:pt>
                <c:pt idx="15">
                  <c:v>439.99999999999994</c:v>
                </c:pt>
                <c:pt idx="16">
                  <c:v>495</c:v>
                </c:pt>
                <c:pt idx="17">
                  <c:v>549.99999999999989</c:v>
                </c:pt>
              </c:numCache>
            </c:numRef>
          </c:yVal>
          <c:smooth val="1"/>
        </c:ser>
        <c:ser>
          <c:idx val="1"/>
          <c:order val="1"/>
          <c:tx>
            <c:strRef>
              <c:f>'IR &amp; CI'!$N$2:$N$3</c:f>
              <c:strCache>
                <c:ptCount val="2"/>
                <c:pt idx="0">
                  <c:v>Predicted # Deaths</c:v>
                </c:pt>
                <c:pt idx="1">
                  <c:v>CI=1-exp(-IR*T)</c:v>
                </c:pt>
              </c:strCache>
            </c:strRef>
          </c:tx>
          <c:spPr>
            <a:ln w="25400">
              <a:solidFill>
                <a:srgbClr val="993366"/>
              </a:solidFill>
              <a:prstDash val="solid"/>
            </a:ln>
          </c:spPr>
          <c:marker>
            <c:symbol val="none"/>
          </c:marker>
          <c:xVal>
            <c:numRef>
              <c:f>'IR &amp; CI'!$L$4:$L$21</c:f>
              <c:numCache>
                <c:formatCode>General</c:formatCode>
                <c:ptCount val="18"/>
                <c:pt idx="0">
                  <c:v>1</c:v>
                </c:pt>
                <c:pt idx="1">
                  <c:v>2</c:v>
                </c:pt>
                <c:pt idx="2">
                  <c:v>3</c:v>
                </c:pt>
                <c:pt idx="3">
                  <c:v>4</c:v>
                </c:pt>
                <c:pt idx="4">
                  <c:v>5</c:v>
                </c:pt>
                <c:pt idx="5">
                  <c:v>6</c:v>
                </c:pt>
                <c:pt idx="6">
                  <c:v>7</c:v>
                </c:pt>
                <c:pt idx="7">
                  <c:v>8</c:v>
                </c:pt>
                <c:pt idx="8">
                  <c:v>9</c:v>
                </c:pt>
                <c:pt idx="9">
                  <c:v>10</c:v>
                </c:pt>
                <c:pt idx="10">
                  <c:v>15</c:v>
                </c:pt>
                <c:pt idx="11">
                  <c:v>20</c:v>
                </c:pt>
                <c:pt idx="12">
                  <c:v>25</c:v>
                </c:pt>
                <c:pt idx="13">
                  <c:v>30</c:v>
                </c:pt>
                <c:pt idx="14">
                  <c:v>35</c:v>
                </c:pt>
                <c:pt idx="15">
                  <c:v>40</c:v>
                </c:pt>
                <c:pt idx="16">
                  <c:v>45</c:v>
                </c:pt>
                <c:pt idx="17">
                  <c:v>50</c:v>
                </c:pt>
              </c:numCache>
            </c:numRef>
          </c:xVal>
          <c:yVal>
            <c:numRef>
              <c:f>'IR &amp; CI'!$N$4:$N$21</c:f>
              <c:numCache>
                <c:formatCode>0.0</c:formatCode>
                <c:ptCount val="18"/>
                <c:pt idx="0">
                  <c:v>10.939721224631271</c:v>
                </c:pt>
                <c:pt idx="1">
                  <c:v>21.75976494878995</c:v>
                </c:pt>
                <c:pt idx="2">
                  <c:v>32.461440410967988</c:v>
                </c:pt>
                <c:pt idx="3">
                  <c:v>43.046042526953322</c:v>
                </c:pt>
                <c:pt idx="4">
                  <c:v>53.514852046516069</c:v>
                </c:pt>
                <c:pt idx="5">
                  <c:v>63.869135708381151</c:v>
                </c:pt>
                <c:pt idx="6">
                  <c:v>74.110146393504664</c:v>
                </c:pt>
                <c:pt idx="7">
                  <c:v>84.239123276674377</c:v>
                </c:pt>
                <c:pt idx="8">
                  <c:v>94.257291976451498</c:v>
                </c:pt>
                <c:pt idx="9">
                  <c:v>104.16586470347178</c:v>
                </c:pt>
                <c:pt idx="10">
                  <c:v>152.10629591208414</c:v>
                </c:pt>
                <c:pt idx="11">
                  <c:v>197.48120203752151</c:v>
                </c:pt>
                <c:pt idx="12">
                  <c:v>240.42787677503154</c:v>
                </c:pt>
                <c:pt idx="13">
                  <c:v>281.07626656807383</c:v>
                </c:pt>
                <c:pt idx="14">
                  <c:v>319.54936379541232</c:v>
                </c:pt>
                <c:pt idx="15">
                  <c:v>355.96357891685858</c:v>
                </c:pt>
                <c:pt idx="16">
                  <c:v>390.42909270369074</c:v>
                </c:pt>
                <c:pt idx="17">
                  <c:v>423.05018961951322</c:v>
                </c:pt>
              </c:numCache>
            </c:numRef>
          </c:yVal>
          <c:smooth val="1"/>
        </c:ser>
        <c:dLbls>
          <c:showLegendKey val="0"/>
          <c:showVal val="0"/>
          <c:showCatName val="0"/>
          <c:showSerName val="0"/>
          <c:showPercent val="0"/>
          <c:showBubbleSize val="0"/>
        </c:dLbls>
        <c:axId val="381850936"/>
        <c:axId val="381853680"/>
      </c:scatterChart>
      <c:valAx>
        <c:axId val="381850936"/>
        <c:scaling>
          <c:orientation val="minMax"/>
          <c:max val="50"/>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381853680"/>
        <c:crosses val="autoZero"/>
        <c:crossBetween val="midCat"/>
        <c:majorUnit val="5"/>
        <c:minorUnit val="1"/>
      </c:valAx>
      <c:valAx>
        <c:axId val="381853680"/>
        <c:scaling>
          <c:orientation val="minMax"/>
        </c:scaling>
        <c:delete val="0"/>
        <c:axPos val="l"/>
        <c:majorGridlines>
          <c:spPr>
            <a:ln w="3175">
              <a:solidFill>
                <a:srgbClr val="808080"/>
              </a:solidFill>
              <a:prstDash val="solid"/>
            </a:ln>
          </c:spPr>
        </c:majorGridlines>
        <c:numFmt formatCode="0.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381850936"/>
        <c:crosses val="autoZero"/>
        <c:crossBetween val="midCat"/>
      </c:valAx>
      <c:spPr>
        <a:solidFill>
          <a:srgbClr val="FFFFFF"/>
        </a:solidFill>
        <a:ln w="25400">
          <a:noFill/>
        </a:ln>
      </c:spPr>
    </c:plotArea>
    <c:legend>
      <c:legendPos val="r"/>
      <c:layout>
        <c:manualLayout>
          <c:xMode val="edge"/>
          <c:yMode val="edge"/>
          <c:x val="0.69426918768911849"/>
          <c:y val="0.33714435695538059"/>
          <c:w val="0.28344011735794172"/>
          <c:h val="0.28000112485939266"/>
        </c:manualLayout>
      </c:layout>
      <c:overlay val="0"/>
      <c:spPr>
        <a:noFill/>
        <a:ln w="25400">
          <a:noFill/>
        </a:ln>
      </c:spPr>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1" i="0" u="none" strike="noStrike" baseline="0">
                <a:solidFill>
                  <a:srgbClr val="000000"/>
                </a:solidFill>
                <a:latin typeface="Arial"/>
                <a:ea typeface="Arial"/>
                <a:cs typeface="Arial"/>
              </a:defRPr>
            </a:pPr>
            <a:r>
              <a:rPr lang="en-US"/>
              <a:t>p-value function</a:t>
            </a:r>
          </a:p>
        </c:rich>
      </c:tx>
      <c:layout>
        <c:manualLayout>
          <c:xMode val="edge"/>
          <c:yMode val="edge"/>
          <c:x val="0.37579693842617495"/>
          <c:y val="3.2432469378827648E-2"/>
        </c:manualLayout>
      </c:layout>
      <c:overlay val="0"/>
      <c:spPr>
        <a:noFill/>
        <a:ln w="25400">
          <a:noFill/>
        </a:ln>
      </c:spPr>
    </c:title>
    <c:autoTitleDeleted val="0"/>
    <c:plotArea>
      <c:layout>
        <c:manualLayout>
          <c:layoutTarget val="inner"/>
          <c:xMode val="edge"/>
          <c:yMode val="edge"/>
          <c:x val="0.16135914559934314"/>
          <c:y val="0.18108132005030622"/>
          <c:w val="0.77919482151261754"/>
          <c:h val="0.63243326704136804"/>
        </c:manualLayout>
      </c:layout>
      <c:scatterChart>
        <c:scatterStyle val="smoothMarker"/>
        <c:varyColors val="0"/>
        <c:ser>
          <c:idx val="0"/>
          <c:order val="0"/>
          <c:tx>
            <c:strRef>
              <c:f>'Cohort Studies'!$I$59</c:f>
              <c:strCache>
                <c:ptCount val="1"/>
                <c:pt idx="0">
                  <c:v>p-value</c:v>
                </c:pt>
              </c:strCache>
            </c:strRef>
          </c:tx>
          <c:spPr>
            <a:ln w="12700">
              <a:solidFill>
                <a:srgbClr val="000090"/>
              </a:solidFill>
              <a:prstDash val="solid"/>
            </a:ln>
          </c:spPr>
          <c:marker>
            <c:symbol val="none"/>
          </c:marker>
          <c:xVal>
            <c:numRef>
              <c:f>'Cohort Studies'!$H$60:$H$118</c:f>
              <c:numCache>
                <c:formatCode>General</c:formatCode>
                <c:ptCount val="5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numCache>
            </c:numRef>
          </c:xVal>
          <c:yVal>
            <c:numRef>
              <c:f>'Cohort Studies'!$I$60:$I$118</c:f>
              <c:numCache>
                <c:formatCode>General</c:formatCode>
                <c:ptCount val="59"/>
                <c:pt idx="0">
                  <c:v>3.7312000000000001E-3</c:v>
                </c:pt>
                <c:pt idx="1">
                  <c:v>5.1098999999999997E-3</c:v>
                </c:pt>
                <c:pt idx="2">
                  <c:v>6.9335000000000004E-3</c:v>
                </c:pt>
                <c:pt idx="3">
                  <c:v>9.3220000000000004E-3</c:v>
                </c:pt>
                <c:pt idx="4">
                  <c:v>1.24189E-2</c:v>
                </c:pt>
                <c:pt idx="5">
                  <c:v>1.6394700000000002E-2</c:v>
                </c:pt>
                <c:pt idx="6">
                  <c:v>2.14478E-2</c:v>
                </c:pt>
                <c:pt idx="7">
                  <c:v>2.7806500000000001E-2</c:v>
                </c:pt>
                <c:pt idx="8">
                  <c:v>3.57284E-2</c:v>
                </c:pt>
                <c:pt idx="9">
                  <c:v>4.5499900000000003E-2</c:v>
                </c:pt>
                <c:pt idx="10">
                  <c:v>5.7432700000000003E-2</c:v>
                </c:pt>
                <c:pt idx="11">
                  <c:v>7.1860300000000002E-2</c:v>
                </c:pt>
                <c:pt idx="12">
                  <c:v>8.9130600000000004E-2</c:v>
                </c:pt>
                <c:pt idx="13">
                  <c:v>0.10959820000000001</c:v>
                </c:pt>
                <c:pt idx="14">
                  <c:v>0.13361400000000001</c:v>
                </c:pt>
                <c:pt idx="15">
                  <c:v>0.16151299999999999</c:v>
                </c:pt>
                <c:pt idx="16">
                  <c:v>0.19360060000000001</c:v>
                </c:pt>
                <c:pt idx="17">
                  <c:v>0.23013900000000001</c:v>
                </c:pt>
                <c:pt idx="18">
                  <c:v>0.27133180000000001</c:v>
                </c:pt>
                <c:pt idx="19">
                  <c:v>0.31731019999999999</c:v>
                </c:pt>
                <c:pt idx="20">
                  <c:v>0.36812</c:v>
                </c:pt>
                <c:pt idx="21">
                  <c:v>0.42371049999999999</c:v>
                </c:pt>
                <c:pt idx="22">
                  <c:v>0.4839271</c:v>
                </c:pt>
                <c:pt idx="23">
                  <c:v>0.54850600000000005</c:v>
                </c:pt>
                <c:pt idx="24">
                  <c:v>0.61707489999999998</c:v>
                </c:pt>
                <c:pt idx="25">
                  <c:v>0.68915630000000005</c:v>
                </c:pt>
                <c:pt idx="26">
                  <c:v>0.764177</c:v>
                </c:pt>
                <c:pt idx="27">
                  <c:v>0.84148049999999996</c:v>
                </c:pt>
                <c:pt idx="28">
                  <c:v>0.92034419999999995</c:v>
                </c:pt>
                <c:pt idx="29">
                  <c:v>1</c:v>
                </c:pt>
                <c:pt idx="30">
                  <c:v>0.9203443</c:v>
                </c:pt>
                <c:pt idx="31">
                  <c:v>0.84148049999999996</c:v>
                </c:pt>
                <c:pt idx="32">
                  <c:v>0.76417710000000005</c:v>
                </c:pt>
                <c:pt idx="33">
                  <c:v>0.6891564</c:v>
                </c:pt>
                <c:pt idx="34">
                  <c:v>0.61707489999999998</c:v>
                </c:pt>
                <c:pt idx="35">
                  <c:v>0.5485061</c:v>
                </c:pt>
                <c:pt idx="36">
                  <c:v>0.4839271</c:v>
                </c:pt>
                <c:pt idx="37">
                  <c:v>0.42371059999999999</c:v>
                </c:pt>
                <c:pt idx="38">
                  <c:v>0.36812</c:v>
                </c:pt>
                <c:pt idx="39">
                  <c:v>0.31731019999999999</c:v>
                </c:pt>
                <c:pt idx="40">
                  <c:v>0.27133180000000001</c:v>
                </c:pt>
                <c:pt idx="41">
                  <c:v>0.23013900000000001</c:v>
                </c:pt>
                <c:pt idx="42">
                  <c:v>0.19360069999999999</c:v>
                </c:pt>
                <c:pt idx="43">
                  <c:v>0.16151299999999999</c:v>
                </c:pt>
                <c:pt idx="44">
                  <c:v>0.13361410000000001</c:v>
                </c:pt>
                <c:pt idx="45">
                  <c:v>0.10959820000000001</c:v>
                </c:pt>
                <c:pt idx="46">
                  <c:v>8.9130600000000004E-2</c:v>
                </c:pt>
                <c:pt idx="47">
                  <c:v>7.1860300000000002E-2</c:v>
                </c:pt>
                <c:pt idx="48">
                  <c:v>5.7432700000000003E-2</c:v>
                </c:pt>
                <c:pt idx="49">
                  <c:v>4.5499900000000003E-2</c:v>
                </c:pt>
                <c:pt idx="50">
                  <c:v>3.5728500000000003E-2</c:v>
                </c:pt>
                <c:pt idx="51">
                  <c:v>2.7806500000000001E-2</c:v>
                </c:pt>
                <c:pt idx="52">
                  <c:v>2.14478E-2</c:v>
                </c:pt>
                <c:pt idx="53">
                  <c:v>1.6394700000000002E-2</c:v>
                </c:pt>
                <c:pt idx="54">
                  <c:v>1.24189E-2</c:v>
                </c:pt>
                <c:pt idx="55">
                  <c:v>9.3220000000000004E-3</c:v>
                </c:pt>
                <c:pt idx="56">
                  <c:v>6.9335000000000004E-3</c:v>
                </c:pt>
                <c:pt idx="57">
                  <c:v>5.1098999999999997E-3</c:v>
                </c:pt>
                <c:pt idx="58">
                  <c:v>3.7312000000000001E-3</c:v>
                </c:pt>
              </c:numCache>
            </c:numRef>
          </c:yVal>
          <c:smooth val="1"/>
        </c:ser>
        <c:dLbls>
          <c:showLegendKey val="0"/>
          <c:showVal val="0"/>
          <c:showCatName val="0"/>
          <c:showSerName val="0"/>
          <c:showPercent val="0"/>
          <c:showBubbleSize val="0"/>
        </c:dLbls>
        <c:axId val="381847408"/>
        <c:axId val="381854072"/>
      </c:scatterChart>
      <c:valAx>
        <c:axId val="381847408"/>
        <c:scaling>
          <c:logBase val="10"/>
          <c:orientation val="minMax"/>
          <c:max val="100"/>
          <c:min val="0.01"/>
        </c:scaling>
        <c:delete val="0"/>
        <c:axPos val="b"/>
        <c:title>
          <c:tx>
            <c:rich>
              <a:bodyPr/>
              <a:lstStyle/>
              <a:p>
                <a:pPr>
                  <a:defRPr sz="950" b="1" i="0" u="none" strike="noStrike" baseline="0">
                    <a:solidFill>
                      <a:srgbClr val="000000"/>
                    </a:solidFill>
                    <a:latin typeface="Arial"/>
                    <a:ea typeface="Arial"/>
                    <a:cs typeface="Arial"/>
                  </a:defRPr>
                </a:pPr>
                <a:r>
                  <a:rPr lang="en-US"/>
                  <a:t>RR</a:t>
                </a:r>
              </a:p>
            </c:rich>
          </c:tx>
          <c:layout>
            <c:manualLayout>
              <c:xMode val="edge"/>
              <c:yMode val="edge"/>
              <c:x val="0.52654048678697774"/>
              <c:y val="0.8972980916447943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381854072"/>
        <c:crosses val="autoZero"/>
        <c:crossBetween val="midCat"/>
        <c:majorUnit val="10"/>
      </c:valAx>
      <c:valAx>
        <c:axId val="381854072"/>
        <c:scaling>
          <c:orientation val="minMax"/>
          <c:max val="1"/>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p-value (test-based)</a:t>
                </a:r>
              </a:p>
            </c:rich>
          </c:tx>
          <c:layout>
            <c:manualLayout>
              <c:xMode val="edge"/>
              <c:yMode val="edge"/>
              <c:x val="3.3970264586491904E-2"/>
              <c:y val="0.28648658501020702"/>
            </c:manualLayout>
          </c:layout>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81847408"/>
        <c:crossesAt val="0.01"/>
        <c:crossBetween val="midCat"/>
        <c:majorUnit val="0.05"/>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392310800227476E-2"/>
          <c:y val="0.11111157481793711"/>
          <c:w val="0.89215857107569518"/>
          <c:h val="0.69658410366629797"/>
        </c:manualLayout>
      </c:layout>
      <c:barChart>
        <c:barDir val="col"/>
        <c:grouping val="clustered"/>
        <c:varyColors val="0"/>
        <c:ser>
          <c:idx val="0"/>
          <c:order val="0"/>
          <c:spPr>
            <a:solidFill>
              <a:srgbClr val="9999FF"/>
            </a:solidFill>
            <a:ln w="12700">
              <a:solidFill>
                <a:srgbClr val="000000"/>
              </a:solidFill>
              <a:prstDash val="solid"/>
            </a:ln>
          </c:spPr>
          <c:invertIfNegative val="0"/>
          <c:cat>
            <c:numRef>
              <c:f>'Standard Deviation'!$D$22:$D$33</c:f>
              <c:numCache>
                <c:formatCode>General</c:formatCode>
                <c:ptCount val="12"/>
                <c:pt idx="0">
                  <c:v>22</c:v>
                </c:pt>
                <c:pt idx="1">
                  <c:v>23</c:v>
                </c:pt>
                <c:pt idx="2">
                  <c:v>24</c:v>
                </c:pt>
                <c:pt idx="3">
                  <c:v>25</c:v>
                </c:pt>
                <c:pt idx="4">
                  <c:v>26</c:v>
                </c:pt>
                <c:pt idx="5">
                  <c:v>27</c:v>
                </c:pt>
                <c:pt idx="6">
                  <c:v>28</c:v>
                </c:pt>
                <c:pt idx="7">
                  <c:v>29</c:v>
                </c:pt>
                <c:pt idx="8">
                  <c:v>30</c:v>
                </c:pt>
                <c:pt idx="9">
                  <c:v>31</c:v>
                </c:pt>
                <c:pt idx="10">
                  <c:v>32</c:v>
                </c:pt>
                <c:pt idx="11">
                  <c:v>33</c:v>
                </c:pt>
              </c:numCache>
            </c:numRef>
          </c:cat>
          <c:val>
            <c:numRef>
              <c:f>'Standard Deviation'!$E$22:$E$33</c:f>
              <c:numCache>
                <c:formatCode>General</c:formatCode>
                <c:ptCount val="12"/>
                <c:pt idx="0">
                  <c:v>1</c:v>
                </c:pt>
                <c:pt idx="1">
                  <c:v>3</c:v>
                </c:pt>
                <c:pt idx="2">
                  <c:v>2</c:v>
                </c:pt>
                <c:pt idx="3">
                  <c:v>5</c:v>
                </c:pt>
                <c:pt idx="4">
                  <c:v>7</c:v>
                </c:pt>
                <c:pt idx="5">
                  <c:v>9</c:v>
                </c:pt>
                <c:pt idx="6">
                  <c:v>6</c:v>
                </c:pt>
                <c:pt idx="7">
                  <c:v>5</c:v>
                </c:pt>
                <c:pt idx="8">
                  <c:v>3</c:v>
                </c:pt>
                <c:pt idx="9">
                  <c:v>1</c:v>
                </c:pt>
                <c:pt idx="10">
                  <c:v>1</c:v>
                </c:pt>
                <c:pt idx="11">
                  <c:v>1</c:v>
                </c:pt>
              </c:numCache>
            </c:numRef>
          </c:val>
        </c:ser>
        <c:dLbls>
          <c:showLegendKey val="0"/>
          <c:showVal val="0"/>
          <c:showCatName val="0"/>
          <c:showSerName val="0"/>
          <c:showPercent val="0"/>
          <c:showBubbleSize val="0"/>
        </c:dLbls>
        <c:gapWidth val="150"/>
        <c:axId val="381854856"/>
        <c:axId val="381847800"/>
      </c:barChart>
      <c:catAx>
        <c:axId val="3818548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81847800"/>
        <c:crosses val="autoZero"/>
        <c:auto val="1"/>
        <c:lblAlgn val="ctr"/>
        <c:lblOffset val="100"/>
        <c:tickLblSkip val="1"/>
        <c:tickMarkSkip val="1"/>
        <c:noMultiLvlLbl val="0"/>
      </c:catAx>
      <c:valAx>
        <c:axId val="38184780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8185485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50792138331562E-2"/>
          <c:y val="0.11111157481793711"/>
          <c:w val="0.87858909050145406"/>
          <c:h val="0.69658410366629797"/>
        </c:manualLayout>
      </c:layout>
      <c:barChart>
        <c:barDir val="col"/>
        <c:grouping val="clustered"/>
        <c:varyColors val="0"/>
        <c:ser>
          <c:idx val="0"/>
          <c:order val="0"/>
          <c:spPr>
            <a:solidFill>
              <a:srgbClr val="9999FF"/>
            </a:solidFill>
            <a:ln w="12700">
              <a:solidFill>
                <a:srgbClr val="000000"/>
              </a:solidFill>
              <a:prstDash val="solid"/>
            </a:ln>
          </c:spPr>
          <c:invertIfNegative val="0"/>
          <c:cat>
            <c:numRef>
              <c:f>'Standard Deviation'!$N$22:$N$33</c:f>
              <c:numCache>
                <c:formatCode>General</c:formatCode>
                <c:ptCount val="12"/>
                <c:pt idx="0">
                  <c:v>22</c:v>
                </c:pt>
                <c:pt idx="1">
                  <c:v>23</c:v>
                </c:pt>
                <c:pt idx="2">
                  <c:v>24</c:v>
                </c:pt>
                <c:pt idx="3">
                  <c:v>25</c:v>
                </c:pt>
                <c:pt idx="4">
                  <c:v>26</c:v>
                </c:pt>
                <c:pt idx="5">
                  <c:v>27</c:v>
                </c:pt>
                <c:pt idx="6">
                  <c:v>28</c:v>
                </c:pt>
                <c:pt idx="7">
                  <c:v>29</c:v>
                </c:pt>
                <c:pt idx="8">
                  <c:v>30</c:v>
                </c:pt>
                <c:pt idx="9">
                  <c:v>31</c:v>
                </c:pt>
                <c:pt idx="10">
                  <c:v>32</c:v>
                </c:pt>
                <c:pt idx="11">
                  <c:v>33</c:v>
                </c:pt>
              </c:numCache>
            </c:numRef>
          </c:cat>
          <c:val>
            <c:numRef>
              <c:f>'Standard Deviation'!$O$22:$O$33</c:f>
              <c:numCache>
                <c:formatCode>General</c:formatCode>
                <c:ptCount val="12"/>
                <c:pt idx="0">
                  <c:v>0</c:v>
                </c:pt>
                <c:pt idx="1">
                  <c:v>1</c:v>
                </c:pt>
                <c:pt idx="2">
                  <c:v>2</c:v>
                </c:pt>
                <c:pt idx="3">
                  <c:v>5</c:v>
                </c:pt>
                <c:pt idx="4">
                  <c:v>7</c:v>
                </c:pt>
                <c:pt idx="5">
                  <c:v>14</c:v>
                </c:pt>
                <c:pt idx="6">
                  <c:v>6</c:v>
                </c:pt>
                <c:pt idx="7">
                  <c:v>5</c:v>
                </c:pt>
                <c:pt idx="8">
                  <c:v>3</c:v>
                </c:pt>
                <c:pt idx="9">
                  <c:v>1</c:v>
                </c:pt>
                <c:pt idx="10">
                  <c:v>0</c:v>
                </c:pt>
                <c:pt idx="11">
                  <c:v>0</c:v>
                </c:pt>
              </c:numCache>
            </c:numRef>
          </c:val>
        </c:ser>
        <c:dLbls>
          <c:showLegendKey val="0"/>
          <c:showVal val="0"/>
          <c:showCatName val="0"/>
          <c:showSerName val="0"/>
          <c:showPercent val="0"/>
          <c:showBubbleSize val="0"/>
        </c:dLbls>
        <c:gapWidth val="150"/>
        <c:axId val="381851720"/>
        <c:axId val="381848192"/>
      </c:barChart>
      <c:catAx>
        <c:axId val="3818517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81848192"/>
        <c:crosses val="autoZero"/>
        <c:auto val="1"/>
        <c:lblAlgn val="ctr"/>
        <c:lblOffset val="100"/>
        <c:tickLblSkip val="1"/>
        <c:tickMarkSkip val="1"/>
        <c:noMultiLvlLbl val="0"/>
      </c:catAx>
      <c:valAx>
        <c:axId val="38184819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8185172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US"/>
              <a:t>Predicted Change in Body Weight Over 1 Year</a:t>
            </a:r>
          </a:p>
        </c:rich>
      </c:tx>
      <c:overlay val="0"/>
      <c:spPr>
        <a:noFill/>
        <a:ln w="25400">
          <a:noFill/>
        </a:ln>
      </c:spPr>
    </c:title>
    <c:autoTitleDeleted val="0"/>
    <c:plotArea>
      <c:layout/>
      <c:scatterChart>
        <c:scatterStyle val="lineMarker"/>
        <c:varyColors val="0"/>
        <c:ser>
          <c:idx val="0"/>
          <c:order val="0"/>
          <c:spPr>
            <a:ln w="28575">
              <a:noFill/>
            </a:ln>
          </c:spPr>
          <c:marker>
            <c:symbol val="circle"/>
            <c:size val="5"/>
            <c:spPr>
              <a:solidFill>
                <a:schemeClr val="accent1"/>
              </a:solidFill>
              <a:ln w="9525">
                <a:solidFill>
                  <a:schemeClr val="accent1"/>
                </a:solidFill>
              </a:ln>
              <a:effectLst/>
            </c:spPr>
          </c:marker>
          <c:xVal>
            <c:numRef>
              <c:f>'Activity &amp; BMI'!$L$13:$L$64</c:f>
              <c:numCache>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Cache>
            </c:numRef>
          </c:xVal>
          <c:yVal>
            <c:numRef>
              <c:f>'Activity &amp; BMI'!$M$13:$M$64</c:f>
              <c:numCache>
                <c:formatCode>0</c:formatCode>
                <c:ptCount val="52"/>
                <c:pt idx="0">
                  <c:v>198.82123197903013</c:v>
                </c:pt>
                <c:pt idx="1">
                  <c:v>196.48462649127657</c:v>
                </c:pt>
                <c:pt idx="2">
                  <c:v>194.20459558156844</c:v>
                </c:pt>
                <c:pt idx="3">
                  <c:v>191.97976944961303</c:v>
                </c:pt>
                <c:pt idx="4">
                  <c:v>189.80881146112449</c:v>
                </c:pt>
                <c:pt idx="5">
                  <c:v>187.6904173447987</c:v>
                </c:pt>
                <c:pt idx="6">
                  <c:v>185.62331440873126</c:v>
                </c:pt>
                <c:pt idx="7">
                  <c:v>183.60626077580778</c:v>
                </c:pt>
                <c:pt idx="8">
                  <c:v>181.63804463760718</c:v>
                </c:pt>
                <c:pt idx="9">
                  <c:v>179.71748352636962</c:v>
                </c:pt>
                <c:pt idx="10">
                  <c:v>177.84342360459181</c:v>
                </c:pt>
                <c:pt idx="11">
                  <c:v>176.01473897182279</c:v>
                </c:pt>
                <c:pt idx="12">
                  <c:v>174.23033098824394</c:v>
                </c:pt>
                <c:pt idx="13">
                  <c:v>172.48912761462637</c:v>
                </c:pt>
                <c:pt idx="14">
                  <c:v>170.7900827682698</c:v>
                </c:pt>
                <c:pt idx="15">
                  <c:v>169.13217569453539</c:v>
                </c:pt>
                <c:pt idx="16">
                  <c:v>167.51441035359525</c:v>
                </c:pt>
                <c:pt idx="17">
                  <c:v>165.93581482203024</c:v>
                </c:pt>
                <c:pt idx="18">
                  <c:v>164.39544070891637</c:v>
                </c:pt>
                <c:pt idx="19">
                  <c:v>162.89236258604913</c:v>
                </c:pt>
                <c:pt idx="20">
                  <c:v>161.42567743196338</c:v>
                </c:pt>
                <c:pt idx="21">
                  <c:v>159.99450408941482</c:v>
                </c:pt>
                <c:pt idx="22">
                  <c:v>158.59798273599705</c:v>
                </c:pt>
                <c:pt idx="23">
                  <c:v>157.23527436757615</c:v>
                </c:pt>
                <c:pt idx="24">
                  <c:v>155.90556029423263</c:v>
                </c:pt>
                <c:pt idx="25">
                  <c:v>154.60804164840766</c:v>
                </c:pt>
                <c:pt idx="26">
                  <c:v>153.34193890495831</c:v>
                </c:pt>
                <c:pt idx="27">
                  <c:v>152.10649141283324</c:v>
                </c:pt>
                <c:pt idx="28">
                  <c:v>150.90095693808769</c:v>
                </c:pt>
                <c:pt idx="29">
                  <c:v>149.72461121796306</c:v>
                </c:pt>
                <c:pt idx="30">
                  <c:v>148.5767475257633</c:v>
                </c:pt>
                <c:pt idx="31">
                  <c:v>147.45667624626657</c:v>
                </c:pt>
                <c:pt idx="32">
                  <c:v>146.36372446141729</c:v>
                </c:pt>
                <c:pt idx="33">
                  <c:v>145.29723554604936</c:v>
                </c:pt>
                <c:pt idx="34">
                  <c:v>144.25656877339799</c:v>
                </c:pt>
                <c:pt idx="35">
                  <c:v>143.24109893016288</c:v>
                </c:pt>
                <c:pt idx="36">
                  <c:v>142.25021594089176</c:v>
                </c:pt>
                <c:pt idx="37">
                  <c:v>141.28332450145831</c:v>
                </c:pt>
                <c:pt idx="38">
                  <c:v>140.33984372141447</c:v>
                </c:pt>
                <c:pt idx="39">
                  <c:v>139.41920677500224</c:v>
                </c:pt>
                <c:pt idx="40">
                  <c:v>138.52086056061526</c:v>
                </c:pt>
                <c:pt idx="41">
                  <c:v>137.6442653685057</c:v>
                </c:pt>
                <c:pt idx="42">
                  <c:v>136.78889455653655</c:v>
                </c:pt>
                <c:pt idx="43">
                  <c:v>135.95423423378483</c:v>
                </c:pt>
                <c:pt idx="44">
                  <c:v>135.13978295180547</c:v>
                </c:pt>
                <c:pt idx="45">
                  <c:v>134.34505140337035</c:v>
                </c:pt>
                <c:pt idx="46">
                  <c:v>133.56956212850162</c:v>
                </c:pt>
                <c:pt idx="47">
                  <c:v>132.81284922762259</c:v>
                </c:pt>
                <c:pt idx="48">
                  <c:v>132.07445808165389</c:v>
                </c:pt>
                <c:pt idx="49">
                  <c:v>131.35394507888677</c:v>
                </c:pt>
                <c:pt idx="50">
                  <c:v>130.65087734846941</c:v>
                </c:pt>
                <c:pt idx="51">
                  <c:v>129.96483250034612</c:v>
                </c:pt>
              </c:numCache>
            </c:numRef>
          </c:yVal>
          <c:smooth val="0"/>
        </c:ser>
        <c:dLbls>
          <c:showLegendKey val="0"/>
          <c:showVal val="0"/>
          <c:showCatName val="0"/>
          <c:showSerName val="0"/>
          <c:showPercent val="0"/>
          <c:showBubbleSize val="0"/>
        </c:dLbls>
        <c:axId val="381849760"/>
        <c:axId val="381850152"/>
      </c:scatterChart>
      <c:valAx>
        <c:axId val="381849760"/>
        <c:scaling>
          <c:orientation val="minMax"/>
          <c:max val="52"/>
          <c:min val="0"/>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81850152"/>
        <c:crosses val="autoZero"/>
        <c:crossBetween val="midCat"/>
      </c:valAx>
      <c:valAx>
        <c:axId val="381850152"/>
        <c:scaling>
          <c:orientation val="minMax"/>
          <c:min val="1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81849760"/>
        <c:crossesAt val="0"/>
        <c:crossBetween val="midCat"/>
        <c:majorUnit val="25"/>
      </c:valAx>
      <c:spPr>
        <a:solidFill>
          <a:schemeClr val="bg2"/>
        </a:solidFill>
        <a:ln>
          <a:solidFill>
            <a:sysClr val="windowText" lastClr="000000"/>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US"/>
              <a:t>Predicted Change in BMI Over 1 Year</a:t>
            </a:r>
          </a:p>
        </c:rich>
      </c:tx>
      <c:overlay val="0"/>
      <c:spPr>
        <a:noFill/>
        <a:ln w="25400">
          <a:noFill/>
        </a:ln>
      </c:spPr>
    </c:title>
    <c:autoTitleDeleted val="0"/>
    <c:plotArea>
      <c:layout/>
      <c:scatterChart>
        <c:scatterStyle val="lineMarker"/>
        <c:varyColors val="0"/>
        <c:ser>
          <c:idx val="1"/>
          <c:order val="0"/>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'Activity &amp; BMI'!$L$13:$L$64</c:f>
              <c:numCache>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Cache>
            </c:numRef>
          </c:xVal>
          <c:yVal>
            <c:numRef>
              <c:f>'Activity &amp; BMI'!$N$13:$N$64</c:f>
              <c:numCache>
                <c:formatCode>0.0</c:formatCode>
                <c:ptCount val="52"/>
                <c:pt idx="0">
                  <c:v>28.524760424746567</c:v>
                </c:pt>
                <c:pt idx="1">
                  <c:v>28.189529065993352</c:v>
                </c:pt>
                <c:pt idx="2">
                  <c:v>27.862414427314818</c:v>
                </c:pt>
                <c:pt idx="3">
                  <c:v>27.543219984301622</c:v>
                </c:pt>
                <c:pt idx="4">
                  <c:v>27.231753970851127</c:v>
                </c:pt>
                <c:pt idx="5">
                  <c:v>26.927829263957857</c:v>
                </c:pt>
                <c:pt idx="6">
                  <c:v>26.631263271293484</c:v>
                </c:pt>
                <c:pt idx="7">
                  <c:v>26.341877821508749</c:v>
                </c:pt>
                <c:pt idx="8">
                  <c:v>26.059499057191399</c:v>
                </c:pt>
                <c:pt idx="9">
                  <c:v>25.783957330415888</c:v>
                </c:pt>
                <c:pt idx="10">
                  <c:v>25.515087100822051</c:v>
                </c:pt>
                <c:pt idx="11">
                  <c:v>25.252726836161514</c:v>
                </c:pt>
                <c:pt idx="12">
                  <c:v>24.996718915252139</c:v>
                </c:pt>
                <c:pt idx="13">
                  <c:v>24.746909533282111</c:v>
                </c:pt>
                <c:pt idx="14">
                  <c:v>24.503148609406871</c:v>
                </c:pt>
                <c:pt idx="15">
                  <c:v>24.265289696583341</c:v>
                </c:pt>
                <c:pt idx="16">
                  <c:v>24.033189893587235</c:v>
                </c:pt>
                <c:pt idx="17">
                  <c:v>23.806709759160665</c:v>
                </c:pt>
                <c:pt idx="18">
                  <c:v>23.585713228238408</c:v>
                </c:pt>
                <c:pt idx="19">
                  <c:v>23.370067530202558</c:v>
                </c:pt>
                <c:pt idx="20">
                  <c:v>23.159643109116381</c:v>
                </c:pt>
                <c:pt idx="21">
                  <c:v>22.954313545889512</c:v>
                </c:pt>
                <c:pt idx="22">
                  <c:v>22.75395548232774</c:v>
                </c:pt>
                <c:pt idx="23">
                  <c:v>22.558448547021641</c:v>
                </c:pt>
                <c:pt idx="24">
                  <c:v>22.367675283029705</c:v>
                </c:pt>
                <c:pt idx="25">
                  <c:v>22.181521077312365</c:v>
                </c:pt>
                <c:pt idx="26">
                  <c:v>21.999874091874631</c:v>
                </c:pt>
                <c:pt idx="27">
                  <c:v>21.822625196575871</c:v>
                </c:pt>
                <c:pt idx="28">
                  <c:v>21.649667903566456</c:v>
                </c:pt>
                <c:pt idx="29">
                  <c:v>21.480898303311843</c:v>
                </c:pt>
                <c:pt idx="30">
                  <c:v>21.316215002165631</c:v>
                </c:pt>
                <c:pt idx="31">
                  <c:v>21.155519061454161</c:v>
                </c:pt>
                <c:pt idx="32">
                  <c:v>20.998713938035991</c:v>
                </c:pt>
                <c:pt idx="33">
                  <c:v>20.845705426300551</c:v>
                </c:pt>
                <c:pt idx="34">
                  <c:v>20.696401601571182</c:v>
                </c:pt>
                <c:pt idx="35">
                  <c:v>20.550712764878472</c:v>
                </c:pt>
                <c:pt idx="36">
                  <c:v>20.408551389070798</c:v>
                </c:pt>
                <c:pt idx="37">
                  <c:v>20.269832066229629</c:v>
                </c:pt>
                <c:pt idx="38">
                  <c:v>20.134471456358035</c:v>
                </c:pt>
                <c:pt idx="39">
                  <c:v>20.002388237311546</c:v>
                </c:pt>
                <c:pt idx="40">
                  <c:v>19.873503055941335</c:v>
                </c:pt>
                <c:pt idx="41">
                  <c:v>19.747738480420306</c:v>
                </c:pt>
                <c:pt idx="42">
                  <c:v>19.625018953723508</c:v>
                </c:pt>
                <c:pt idx="43">
                  <c:v>19.505270748234842</c:v>
                </c:pt>
                <c:pt idx="44">
                  <c:v>19.38842192145291</c:v>
                </c:pt>
                <c:pt idx="45">
                  <c:v>19.274402272769258</c:v>
                </c:pt>
                <c:pt idx="46">
                  <c:v>19.163143301293189</c:v>
                </c:pt>
                <c:pt idx="47">
                  <c:v>19.054578164697691</c:v>
                </c:pt>
                <c:pt idx="48">
                  <c:v>18.948641639061773</c:v>
                </c:pt>
                <c:pt idx="49">
                  <c:v>18.845270079685182</c:v>
                </c:pt>
                <c:pt idx="50">
                  <c:v>18.744401382851834</c:v>
                </c:pt>
                <c:pt idx="51">
                  <c:v>18.645974948519047</c:v>
                </c:pt>
              </c:numCache>
            </c:numRef>
          </c:yVal>
          <c:smooth val="0"/>
        </c:ser>
        <c:dLbls>
          <c:showLegendKey val="0"/>
          <c:showVal val="0"/>
          <c:showCatName val="0"/>
          <c:showSerName val="0"/>
          <c:showPercent val="0"/>
          <c:showBubbleSize val="0"/>
        </c:dLbls>
        <c:axId val="381852112"/>
        <c:axId val="381852504"/>
      </c:scatterChart>
      <c:valAx>
        <c:axId val="381852112"/>
        <c:scaling>
          <c:orientation val="minMax"/>
          <c:max val="52"/>
          <c:min val="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81852504"/>
        <c:crosses val="autoZero"/>
        <c:crossBetween val="midCat"/>
      </c:valAx>
      <c:valAx>
        <c:axId val="381852504"/>
        <c:scaling>
          <c:orientation val="minMax"/>
          <c:max val="40"/>
          <c:min val="15"/>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81852112"/>
        <c:crosses val="autoZero"/>
        <c:crossBetween val="midCat"/>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672131147540978E-2"/>
          <c:y val="0.10276699675572187"/>
          <c:w val="0.77868852459016391"/>
          <c:h val="0.71936897729005311"/>
        </c:manualLayout>
      </c:layout>
      <c:barChart>
        <c:barDir val="col"/>
        <c:grouping val="clustered"/>
        <c:varyColors val="0"/>
        <c:ser>
          <c:idx val="0"/>
          <c:order val="0"/>
          <c:tx>
            <c:strRef>
              <c:f>'Skewed Distribution '!$E$49</c:f>
              <c:strCache>
                <c:ptCount val="1"/>
                <c:pt idx="0">
                  <c:v>before</c:v>
                </c:pt>
              </c:strCache>
            </c:strRef>
          </c:tx>
          <c:spPr>
            <a:solidFill>
              <a:srgbClr val="9999FF"/>
            </a:solidFill>
            <a:ln w="12700">
              <a:solidFill>
                <a:srgbClr val="000000"/>
              </a:solidFill>
              <a:prstDash val="solid"/>
            </a:ln>
          </c:spPr>
          <c:invertIfNegative val="0"/>
          <c:cat>
            <c:numRef>
              <c:f>'Skewed Distribution '!$D$50:$D$64</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'Skewed Distribution '!$E$50:$E$64</c:f>
              <c:numCache>
                <c:formatCode>General</c:formatCode>
                <c:ptCount val="15"/>
                <c:pt idx="0">
                  <c:v>4</c:v>
                </c:pt>
                <c:pt idx="1">
                  <c:v>5</c:v>
                </c:pt>
                <c:pt idx="2">
                  <c:v>6</c:v>
                </c:pt>
                <c:pt idx="3">
                  <c:v>2</c:v>
                </c:pt>
                <c:pt idx="4">
                  <c:v>0</c:v>
                </c:pt>
                <c:pt idx="5">
                  <c:v>2</c:v>
                </c:pt>
                <c:pt idx="6">
                  <c:v>1</c:v>
                </c:pt>
                <c:pt idx="7">
                  <c:v>2</c:v>
                </c:pt>
                <c:pt idx="8">
                  <c:v>1</c:v>
                </c:pt>
                <c:pt idx="9">
                  <c:v>1</c:v>
                </c:pt>
                <c:pt idx="10">
                  <c:v>1</c:v>
                </c:pt>
                <c:pt idx="11">
                  <c:v>2</c:v>
                </c:pt>
                <c:pt idx="12">
                  <c:v>1</c:v>
                </c:pt>
                <c:pt idx="13">
                  <c:v>0</c:v>
                </c:pt>
                <c:pt idx="14">
                  <c:v>0</c:v>
                </c:pt>
              </c:numCache>
            </c:numRef>
          </c:val>
        </c:ser>
        <c:ser>
          <c:idx val="1"/>
          <c:order val="1"/>
          <c:tx>
            <c:strRef>
              <c:f>'Skewed Distribution '!$F$49</c:f>
              <c:strCache>
                <c:ptCount val="1"/>
                <c:pt idx="0">
                  <c:v>after</c:v>
                </c:pt>
              </c:strCache>
            </c:strRef>
          </c:tx>
          <c:spPr>
            <a:solidFill>
              <a:srgbClr val="993366"/>
            </a:solidFill>
            <a:ln w="12700">
              <a:solidFill>
                <a:srgbClr val="000000"/>
              </a:solidFill>
              <a:prstDash val="solid"/>
            </a:ln>
          </c:spPr>
          <c:invertIfNegative val="0"/>
          <c:cat>
            <c:numRef>
              <c:f>'Skewed Distribution '!$D$50:$D$64</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'Skewed Distribution '!$F$50:$F$64</c:f>
              <c:numCache>
                <c:formatCode>General</c:formatCode>
                <c:ptCount val="15"/>
                <c:pt idx="0">
                  <c:v>6</c:v>
                </c:pt>
                <c:pt idx="1">
                  <c:v>7</c:v>
                </c:pt>
                <c:pt idx="2">
                  <c:v>8</c:v>
                </c:pt>
                <c:pt idx="3">
                  <c:v>2</c:v>
                </c:pt>
                <c:pt idx="4">
                  <c:v>3</c:v>
                </c:pt>
                <c:pt idx="5">
                  <c:v>1</c:v>
                </c:pt>
                <c:pt idx="6">
                  <c:v>1</c:v>
                </c:pt>
                <c:pt idx="7">
                  <c:v>0</c:v>
                </c:pt>
                <c:pt idx="8">
                  <c:v>0</c:v>
                </c:pt>
                <c:pt idx="9">
                  <c:v>0</c:v>
                </c:pt>
                <c:pt idx="10">
                  <c:v>0</c:v>
                </c:pt>
                <c:pt idx="11">
                  <c:v>0</c:v>
                </c:pt>
                <c:pt idx="12">
                  <c:v>0</c:v>
                </c:pt>
                <c:pt idx="13">
                  <c:v>0</c:v>
                </c:pt>
                <c:pt idx="14">
                  <c:v>0</c:v>
                </c:pt>
              </c:numCache>
            </c:numRef>
          </c:val>
        </c:ser>
        <c:dLbls>
          <c:showLegendKey val="0"/>
          <c:showVal val="0"/>
          <c:showCatName val="0"/>
          <c:showSerName val="0"/>
          <c:showPercent val="0"/>
          <c:showBubbleSize val="0"/>
        </c:dLbls>
        <c:gapWidth val="150"/>
        <c:axId val="382952384"/>
        <c:axId val="382954736"/>
      </c:barChart>
      <c:catAx>
        <c:axId val="3829523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82954736"/>
        <c:crosses val="autoZero"/>
        <c:auto val="1"/>
        <c:lblAlgn val="ctr"/>
        <c:lblOffset val="100"/>
        <c:tickLblSkip val="1"/>
        <c:tickMarkSkip val="1"/>
        <c:noMultiLvlLbl val="0"/>
      </c:catAx>
      <c:valAx>
        <c:axId val="38295473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82952384"/>
        <c:crosses val="autoZero"/>
        <c:crossBetween val="between"/>
      </c:valAx>
      <c:spPr>
        <a:solidFill>
          <a:srgbClr val="C0C0C0"/>
        </a:solidFill>
        <a:ln w="12700">
          <a:solidFill>
            <a:srgbClr val="808080"/>
          </a:solidFill>
          <a:prstDash val="solid"/>
        </a:ln>
      </c:spPr>
    </c:plotArea>
    <c:legend>
      <c:legendPos val="r"/>
      <c:layout>
        <c:manualLayout>
          <c:xMode val="edge"/>
          <c:yMode val="edge"/>
          <c:x val="0.86722821412029383"/>
          <c:y val="0.39513677811550152"/>
          <c:w val="0.1142859348463795"/>
          <c:h val="0.16413373860182368"/>
        </c:manualLayout>
      </c:layout>
      <c:overlay val="0"/>
      <c:spPr>
        <a:solidFill>
          <a:srgbClr val="FFFFFF"/>
        </a:solidFill>
        <a:ln w="3175">
          <a:solidFill>
            <a:srgbClr val="000000"/>
          </a:solidFill>
          <a:prstDash val="solid"/>
        </a:ln>
      </c:spPr>
      <c:txPr>
        <a:bodyPr/>
        <a:lstStyle/>
        <a:p>
          <a:pPr>
            <a:defRPr sz="7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5.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8</xdr:col>
      <xdr:colOff>407035</xdr:colOff>
      <xdr:row>10</xdr:row>
      <xdr:rowOff>45720</xdr:rowOff>
    </xdr:from>
    <xdr:to>
      <xdr:col>13</xdr:col>
      <xdr:colOff>45703</xdr:colOff>
      <xdr:row>15</xdr:row>
      <xdr:rowOff>45720</xdr:rowOff>
    </xdr:to>
    <xdr:sp macro="" textlink="">
      <xdr:nvSpPr>
        <xdr:cNvPr id="12289" name="Text Box 1"/>
        <xdr:cNvSpPr txBox="1">
          <a:spLocks noChangeArrowheads="1"/>
        </xdr:cNvSpPr>
      </xdr:nvSpPr>
      <xdr:spPr bwMode="auto">
        <a:xfrm>
          <a:off x="5796280" y="1853565"/>
          <a:ext cx="2753360" cy="828675"/>
        </a:xfrm>
        <a:prstGeom prst="rect">
          <a:avLst/>
        </a:prstGeom>
        <a:solidFill>
          <a:srgbClr val="FFFF99"/>
        </a:solidFill>
        <a:ln w="9525">
          <a:solidFill>
            <a:srgbClr val="000000"/>
          </a:solidFill>
          <a:miter lim="800000"/>
          <a:headEnd/>
          <a:tailEnd/>
        </a:ln>
      </xdr:spPr>
      <xdr:txBody>
        <a:bodyPr vertOverflow="clip" wrap="square" lIns="36576" tIns="22860" rIns="0" bIns="0" anchor="t" upright="1"/>
        <a:lstStyle/>
        <a:p>
          <a:pPr algn="l" rtl="0">
            <a:lnSpc>
              <a:spcPts val="1100"/>
            </a:lnSpc>
            <a:defRPr sz="1000"/>
          </a:pPr>
          <a:r>
            <a:rPr lang="en-US" sz="1200" b="0" i="0" u="none" strike="noStrike" baseline="0">
              <a:solidFill>
                <a:srgbClr val="000000"/>
              </a:solidFill>
              <a:latin typeface="Arial"/>
              <a:cs typeface="Arial"/>
            </a:rPr>
            <a:t>4) Select the block of data to the left with dates and tallies, and use the Excel graphing tool (or click on "Insert", "Charts", "Column") to create a vertical column chart as shown below.</a:t>
          </a:r>
        </a:p>
      </xdr:txBody>
    </xdr:sp>
    <xdr:clientData/>
  </xdr:twoCellAnchor>
  <xdr:twoCellAnchor>
    <xdr:from>
      <xdr:col>5</xdr:col>
      <xdr:colOff>76200</xdr:colOff>
      <xdr:row>15</xdr:row>
      <xdr:rowOff>137160</xdr:rowOff>
    </xdr:from>
    <xdr:to>
      <xdr:col>12</xdr:col>
      <xdr:colOff>502920</xdr:colOff>
      <xdr:row>31</xdr:row>
      <xdr:rowOff>99060</xdr:rowOff>
    </xdr:to>
    <xdr:graphicFrame macro="">
      <xdr:nvGraphicFramePr>
        <xdr:cNvPr id="349605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76200</xdr:colOff>
      <xdr:row>15</xdr:row>
      <xdr:rowOff>22860</xdr:rowOff>
    </xdr:from>
    <xdr:to>
      <xdr:col>7</xdr:col>
      <xdr:colOff>76200</xdr:colOff>
      <xdr:row>17</xdr:row>
      <xdr:rowOff>30480</xdr:rowOff>
    </xdr:to>
    <xdr:sp macro="" textlink="">
      <xdr:nvSpPr>
        <xdr:cNvPr id="3496056" name="Line 3"/>
        <xdr:cNvSpPr>
          <a:spLocks noChangeShapeType="1"/>
        </xdr:cNvSpPr>
      </xdr:nvSpPr>
      <xdr:spPr bwMode="auto">
        <a:xfrm>
          <a:off x="4823460" y="2659380"/>
          <a:ext cx="0" cy="342900"/>
        </a:xfrm>
        <a:prstGeom prst="line">
          <a:avLst/>
        </a:prstGeom>
        <a:noFill/>
        <a:ln w="571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220980</xdr:colOff>
      <xdr:row>15</xdr:row>
      <xdr:rowOff>22860</xdr:rowOff>
    </xdr:from>
    <xdr:to>
      <xdr:col>2</xdr:col>
      <xdr:colOff>114300</xdr:colOff>
      <xdr:row>17</xdr:row>
      <xdr:rowOff>22860</xdr:rowOff>
    </xdr:to>
    <xdr:sp macro="" textlink="">
      <xdr:nvSpPr>
        <xdr:cNvPr id="3496057" name="Oval 4"/>
        <xdr:cNvSpPr>
          <a:spLocks noChangeArrowheads="1"/>
        </xdr:cNvSpPr>
      </xdr:nvSpPr>
      <xdr:spPr bwMode="auto">
        <a:xfrm>
          <a:off x="1341120" y="2659380"/>
          <a:ext cx="487680" cy="335280"/>
        </a:xfrm>
        <a:prstGeom prst="ellipse">
          <a:avLst/>
        </a:prstGeom>
        <a:noFill/>
        <a:ln w="381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144780</xdr:colOff>
      <xdr:row>7</xdr:row>
      <xdr:rowOff>129540</xdr:rowOff>
    </xdr:from>
    <xdr:to>
      <xdr:col>4</xdr:col>
      <xdr:colOff>449580</xdr:colOff>
      <xdr:row>15</xdr:row>
      <xdr:rowOff>137160</xdr:rowOff>
    </xdr:to>
    <xdr:sp macro="" textlink="">
      <xdr:nvSpPr>
        <xdr:cNvPr id="3496058" name="Line 5"/>
        <xdr:cNvSpPr>
          <a:spLocks noChangeShapeType="1"/>
        </xdr:cNvSpPr>
      </xdr:nvSpPr>
      <xdr:spPr bwMode="auto">
        <a:xfrm flipV="1">
          <a:off x="1859280" y="1424940"/>
          <a:ext cx="1554480" cy="134874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312420</xdr:colOff>
      <xdr:row>7</xdr:row>
      <xdr:rowOff>0</xdr:rowOff>
    </xdr:from>
    <xdr:to>
      <xdr:col>5</xdr:col>
      <xdr:colOff>213360</xdr:colOff>
      <xdr:row>11</xdr:row>
      <xdr:rowOff>0</xdr:rowOff>
    </xdr:to>
    <xdr:sp macro="" textlink="">
      <xdr:nvSpPr>
        <xdr:cNvPr id="3496059" name="Oval 6"/>
        <xdr:cNvSpPr>
          <a:spLocks noChangeArrowheads="1"/>
        </xdr:cNvSpPr>
      </xdr:nvSpPr>
      <xdr:spPr bwMode="auto">
        <a:xfrm>
          <a:off x="3276600" y="1295400"/>
          <a:ext cx="495300" cy="670560"/>
        </a:xfrm>
        <a:prstGeom prst="ellipse">
          <a:avLst/>
        </a:prstGeom>
        <a:noFill/>
        <a:ln w="381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281940</xdr:colOff>
      <xdr:row>16</xdr:row>
      <xdr:rowOff>129540</xdr:rowOff>
    </xdr:from>
    <xdr:to>
      <xdr:col>2</xdr:col>
      <xdr:colOff>182880</xdr:colOff>
      <xdr:row>21</xdr:row>
      <xdr:rowOff>22860</xdr:rowOff>
    </xdr:to>
    <xdr:sp macro="" textlink="">
      <xdr:nvSpPr>
        <xdr:cNvPr id="3496060" name="Oval 7"/>
        <xdr:cNvSpPr>
          <a:spLocks noChangeArrowheads="1"/>
        </xdr:cNvSpPr>
      </xdr:nvSpPr>
      <xdr:spPr bwMode="auto">
        <a:xfrm>
          <a:off x="1402080" y="2933700"/>
          <a:ext cx="495300" cy="731520"/>
        </a:xfrm>
        <a:prstGeom prst="ellipse">
          <a:avLst/>
        </a:prstGeom>
        <a:noFill/>
        <a:ln w="381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213360</xdr:colOff>
      <xdr:row>9</xdr:row>
      <xdr:rowOff>129540</xdr:rowOff>
    </xdr:from>
    <xdr:to>
      <xdr:col>4</xdr:col>
      <xdr:colOff>480060</xdr:colOff>
      <xdr:row>18</xdr:row>
      <xdr:rowOff>121920</xdr:rowOff>
    </xdr:to>
    <xdr:sp macro="" textlink="">
      <xdr:nvSpPr>
        <xdr:cNvPr id="3496061" name="Line 8"/>
        <xdr:cNvSpPr>
          <a:spLocks noChangeShapeType="1"/>
        </xdr:cNvSpPr>
      </xdr:nvSpPr>
      <xdr:spPr bwMode="auto">
        <a:xfrm flipV="1">
          <a:off x="1927860" y="1760220"/>
          <a:ext cx="1516380" cy="150114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251460</xdr:colOff>
      <xdr:row>8</xdr:row>
      <xdr:rowOff>121920</xdr:rowOff>
    </xdr:from>
    <xdr:to>
      <xdr:col>6</xdr:col>
      <xdr:colOff>274320</xdr:colOff>
      <xdr:row>10</xdr:row>
      <xdr:rowOff>99060</xdr:rowOff>
    </xdr:to>
    <xdr:sp macro="" textlink="">
      <xdr:nvSpPr>
        <xdr:cNvPr id="3496062" name="Line 9"/>
        <xdr:cNvSpPr>
          <a:spLocks noChangeShapeType="1"/>
        </xdr:cNvSpPr>
      </xdr:nvSpPr>
      <xdr:spPr bwMode="auto">
        <a:xfrm>
          <a:off x="3810000" y="1584960"/>
          <a:ext cx="617220" cy="31242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73661</xdr:colOff>
      <xdr:row>2</xdr:row>
      <xdr:rowOff>0</xdr:rowOff>
    </xdr:from>
    <xdr:to>
      <xdr:col>1</xdr:col>
      <xdr:colOff>150491</xdr:colOff>
      <xdr:row>5</xdr:row>
      <xdr:rowOff>106680</xdr:rowOff>
    </xdr:to>
    <xdr:sp macro="" textlink="">
      <xdr:nvSpPr>
        <xdr:cNvPr id="12298" name="Text Box 10"/>
        <xdr:cNvSpPr txBox="1">
          <a:spLocks noChangeArrowheads="1"/>
        </xdr:cNvSpPr>
      </xdr:nvSpPr>
      <xdr:spPr bwMode="auto">
        <a:xfrm>
          <a:off x="73661" y="457200"/>
          <a:ext cx="1206500" cy="609600"/>
        </a:xfrm>
        <a:prstGeom prst="rect">
          <a:avLst/>
        </a:prstGeom>
        <a:solidFill>
          <a:srgbClr val="FFFF99"/>
        </a:solidFill>
        <a:ln w="9525">
          <a:solidFill>
            <a:srgbClr val="000000"/>
          </a:solidFill>
          <a:miter lim="800000"/>
          <a:headEnd/>
          <a:tailEnd/>
        </a:ln>
      </xdr:spPr>
      <xdr:txBody>
        <a:bodyPr vertOverflow="clip" wrap="square" lIns="36576" tIns="22860" rIns="0" bIns="0" anchor="t" upright="1"/>
        <a:lstStyle/>
        <a:p>
          <a:pPr algn="l" rtl="0">
            <a:lnSpc>
              <a:spcPts val="1100"/>
            </a:lnSpc>
            <a:defRPr sz="1000"/>
          </a:pPr>
          <a:r>
            <a:rPr lang="en-US" sz="1200" b="0" i="0" u="none" strike="noStrike" baseline="0">
              <a:solidFill>
                <a:srgbClr val="000000"/>
              </a:solidFill>
              <a:latin typeface="Arial"/>
              <a:cs typeface="Arial"/>
            </a:rPr>
            <a:t>1) The cases are sorted by date of disease onset.</a:t>
          </a:r>
        </a:p>
      </xdr:txBody>
    </xdr:sp>
    <xdr:clientData/>
  </xdr:twoCellAnchor>
  <xdr:twoCellAnchor>
    <xdr:from>
      <xdr:col>1</xdr:col>
      <xdr:colOff>102235</xdr:colOff>
      <xdr:row>21</xdr:row>
      <xdr:rowOff>42545</xdr:rowOff>
    </xdr:from>
    <xdr:to>
      <xdr:col>3</xdr:col>
      <xdr:colOff>111760</xdr:colOff>
      <xdr:row>25</xdr:row>
      <xdr:rowOff>33</xdr:rowOff>
    </xdr:to>
    <xdr:sp macro="" textlink="">
      <xdr:nvSpPr>
        <xdr:cNvPr id="12299" name="Text Box 11"/>
        <xdr:cNvSpPr txBox="1">
          <a:spLocks noChangeArrowheads="1"/>
        </xdr:cNvSpPr>
      </xdr:nvSpPr>
      <xdr:spPr bwMode="auto">
        <a:xfrm>
          <a:off x="1190625" y="3581400"/>
          <a:ext cx="1228725" cy="600075"/>
        </a:xfrm>
        <a:prstGeom prst="rect">
          <a:avLst/>
        </a:prstGeom>
        <a:solidFill>
          <a:srgbClr val="FFFF99"/>
        </a:solidFill>
        <a:ln w="9525">
          <a:solidFill>
            <a:srgbClr val="000000"/>
          </a:solidFill>
          <a:miter lim="800000"/>
          <a:headEnd/>
          <a:tailEnd/>
        </a:ln>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2) Then, tally the number of cases by day.</a:t>
          </a:r>
        </a:p>
      </xdr:txBody>
    </xdr:sp>
    <xdr:clientData/>
  </xdr:twoCellAnchor>
  <xdr:twoCellAnchor>
    <xdr:from>
      <xdr:col>8</xdr:col>
      <xdr:colOff>309245</xdr:colOff>
      <xdr:row>3</xdr:row>
      <xdr:rowOff>133985</xdr:rowOff>
    </xdr:from>
    <xdr:to>
      <xdr:col>11</xdr:col>
      <xdr:colOff>415283</xdr:colOff>
      <xdr:row>7</xdr:row>
      <xdr:rowOff>80954</xdr:rowOff>
    </xdr:to>
    <xdr:sp macro="" textlink="">
      <xdr:nvSpPr>
        <xdr:cNvPr id="12300" name="Text Box 12"/>
        <xdr:cNvSpPr txBox="1">
          <a:spLocks noChangeArrowheads="1"/>
        </xdr:cNvSpPr>
      </xdr:nvSpPr>
      <xdr:spPr bwMode="auto">
        <a:xfrm>
          <a:off x="5698490" y="758825"/>
          <a:ext cx="1921510" cy="626968"/>
        </a:xfrm>
        <a:prstGeom prst="rect">
          <a:avLst/>
        </a:prstGeom>
        <a:solidFill>
          <a:srgbClr val="FFFF99"/>
        </a:solidFill>
        <a:ln w="9525">
          <a:solidFill>
            <a:srgbClr val="000000"/>
          </a:solidFill>
          <a:miter lim="800000"/>
          <a:headEnd/>
          <a:tailEnd/>
        </a:ln>
      </xdr:spPr>
      <xdr:txBody>
        <a:bodyPr vertOverflow="clip" wrap="square" lIns="36576" tIns="22860" rIns="0" bIns="0" anchor="t" upright="1"/>
        <a:lstStyle/>
        <a:p>
          <a:pPr algn="l" rtl="0">
            <a:lnSpc>
              <a:spcPts val="1100"/>
            </a:lnSpc>
            <a:defRPr sz="1000"/>
          </a:pPr>
          <a:r>
            <a:rPr lang="en-US" sz="1200" b="0" i="0" u="none" strike="noStrike" baseline="0">
              <a:solidFill>
                <a:srgbClr val="000000"/>
              </a:solidFill>
              <a:latin typeface="Arial"/>
              <a:cs typeface="Arial"/>
            </a:rPr>
            <a:t>3) Starting with </a:t>
          </a:r>
          <a:r>
            <a:rPr lang="en-US" sz="1200" b="1" i="0" u="none" strike="noStrike" baseline="0">
              <a:solidFill>
                <a:srgbClr val="FF0000"/>
              </a:solidFill>
              <a:latin typeface="Arial"/>
              <a:cs typeface="Arial"/>
            </a:rPr>
            <a:t>4/28</a:t>
          </a:r>
          <a:r>
            <a:rPr lang="en-US" sz="1200" b="0" i="0" u="none" strike="noStrike" baseline="0">
              <a:solidFill>
                <a:srgbClr val="000000"/>
              </a:solidFill>
              <a:latin typeface="Arial"/>
              <a:cs typeface="Arial"/>
            </a:rPr>
            <a:t>,  tally the number of cases at intervals. In this case, 4-day intervals were used.</a:t>
          </a:r>
        </a:p>
      </xdr:txBody>
    </xdr:sp>
    <xdr:clientData/>
  </xdr:twoCellAnchor>
  <xdr:twoCellAnchor>
    <xdr:from>
      <xdr:col>1</xdr:col>
      <xdr:colOff>145415</xdr:colOff>
      <xdr:row>0</xdr:row>
      <xdr:rowOff>28575</xdr:rowOff>
    </xdr:from>
    <xdr:to>
      <xdr:col>6</xdr:col>
      <xdr:colOff>411512</xdr:colOff>
      <xdr:row>0</xdr:row>
      <xdr:rowOff>257175</xdr:rowOff>
    </xdr:to>
    <xdr:sp macro="" textlink="">
      <xdr:nvSpPr>
        <xdr:cNvPr id="12301" name="Text Box 13"/>
        <xdr:cNvSpPr txBox="1">
          <a:spLocks noChangeArrowheads="1"/>
        </xdr:cNvSpPr>
      </xdr:nvSpPr>
      <xdr:spPr bwMode="auto">
        <a:xfrm>
          <a:off x="1228725" y="28575"/>
          <a:ext cx="3333750" cy="228600"/>
        </a:xfrm>
        <a:prstGeom prst="rect">
          <a:avLst/>
        </a:prstGeom>
        <a:solidFill>
          <a:srgbClr val="CCFFCC"/>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Making an Epidemic Curve for a Disease Outbreak</a:t>
          </a:r>
        </a:p>
      </xdr:txBody>
    </xdr:sp>
    <xdr:clientData/>
  </xdr:twoCellAnchor>
  <xdr:oneCellAnchor>
    <xdr:from>
      <xdr:col>8</xdr:col>
      <xdr:colOff>0</xdr:colOff>
      <xdr:row>8</xdr:row>
      <xdr:rowOff>45720</xdr:rowOff>
    </xdr:from>
    <xdr:ext cx="591624" cy="1177027"/>
    <xdr:sp macro="" textlink="">
      <xdr:nvSpPr>
        <xdr:cNvPr id="2" name="TextBox 1"/>
        <xdr:cNvSpPr txBox="1"/>
      </xdr:nvSpPr>
      <xdr:spPr>
        <a:xfrm>
          <a:off x="5341620" y="1508760"/>
          <a:ext cx="493020" cy="1154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7200">
              <a:latin typeface="Arial" pitchFamily="34" charset="0"/>
              <a:cs typeface="Arial" pitchFamily="34" charset="0"/>
            </a:rPr>
            <a:t>}</a:t>
          </a:r>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73660</xdr:colOff>
      <xdr:row>10</xdr:row>
      <xdr:rowOff>44450</xdr:rowOff>
    </xdr:from>
    <xdr:to>
      <xdr:col>10</xdr:col>
      <xdr:colOff>369545</xdr:colOff>
      <xdr:row>18</xdr:row>
      <xdr:rowOff>70</xdr:rowOff>
    </xdr:to>
    <xdr:sp macro="" textlink="">
      <xdr:nvSpPr>
        <xdr:cNvPr id="18433" name="Text Box 1"/>
        <xdr:cNvSpPr txBox="1">
          <a:spLocks noChangeArrowheads="1"/>
        </xdr:cNvSpPr>
      </xdr:nvSpPr>
      <xdr:spPr bwMode="auto">
        <a:xfrm>
          <a:off x="76200" y="1676400"/>
          <a:ext cx="6391275" cy="1238250"/>
        </a:xfrm>
        <a:prstGeom prst="rect">
          <a:avLst/>
        </a:prstGeom>
        <a:solidFill>
          <a:srgbClr val="FFFF66"/>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r>
            <a:rPr lang="en-US" sz="1200" b="0" i="0" u="none" strike="noStrike" baseline="0">
              <a:solidFill>
                <a:srgbClr val="000000"/>
              </a:solidFill>
              <a:latin typeface="Arial"/>
              <a:ea typeface="Arial"/>
              <a:cs typeface="Arial"/>
            </a:rPr>
            <a:t>This program uses a random number generator to assign subjects randomly to a group. You need to specify how many groups you want in the first blue cell. You then need to “spark” the random number generator by entering some number (ANY number) in the 2nd blue cell. Enter a number and click outside the cell; this will generate a random number and specify to which group the subject should be assigned, based on how many groups you specified.</a:t>
          </a:r>
        </a:p>
        <a:p>
          <a:pPr algn="l" rtl="0">
            <a:lnSpc>
              <a:spcPts val="1100"/>
            </a:lnSpc>
            <a:defRPr sz="1000"/>
          </a:pPr>
          <a:endParaRPr lang="en-US" sz="1200" b="0" i="0" u="none" strike="noStrike" baseline="0">
            <a:solidFill>
              <a:srgbClr val="000000"/>
            </a:solidFill>
            <a:latin typeface="Arial"/>
            <a:ea typeface="Arial"/>
            <a:cs typeface="Aria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183515</xdr:colOff>
      <xdr:row>53</xdr:row>
      <xdr:rowOff>42545</xdr:rowOff>
    </xdr:from>
    <xdr:to>
      <xdr:col>12</xdr:col>
      <xdr:colOff>411502</xdr:colOff>
      <xdr:row>69</xdr:row>
      <xdr:rowOff>9532</xdr:rowOff>
    </xdr:to>
    <xdr:sp macro="" textlink="">
      <xdr:nvSpPr>
        <xdr:cNvPr id="6167" name="Rectangle 23"/>
        <xdr:cNvSpPr>
          <a:spLocks noChangeArrowheads="1"/>
        </xdr:cNvSpPr>
      </xdr:nvSpPr>
      <xdr:spPr bwMode="auto">
        <a:xfrm>
          <a:off x="190500" y="9048750"/>
          <a:ext cx="9439275" cy="2552700"/>
        </a:xfrm>
        <a:prstGeom prst="rect">
          <a:avLst/>
        </a:prstGeom>
        <a:solidFill>
          <a:srgbClr val="CCFFFF"/>
        </a:solidFill>
        <a:ln>
          <a:noFill/>
        </a:ln>
        <a:effectLst/>
        <a:scene3d>
          <a:camera prst="legacyObliqueTopLeft"/>
          <a:lightRig rig="legacyFlat3" dir="t"/>
        </a:scene3d>
        <a:sp3d extrusionH="430200" prstMaterial="legacyMatte">
          <a:bevelT w="13500" h="13500" prst="angle"/>
          <a:bevelB w="13500" h="13500" prst="angle"/>
          <a:extrusionClr>
            <a:srgbClr val="CCFFFF"/>
          </a:extrusionClr>
        </a:sp3d>
        <a:extLst/>
      </xdr:spPr>
      <xdr:txBody>
        <a:bodyPr vertOverflow="clip" wrap="square" lIns="91440" tIns="45720" rIns="91440" bIns="45720" anchor="t" upright="1"/>
        <a:lstStyle/>
        <a:p>
          <a:pPr algn="l" rtl="0">
            <a:defRPr sz="1000"/>
          </a:pPr>
          <a:r>
            <a:rPr lang="en-US" sz="1200" b="0" i="0" u="none" strike="noStrike" baseline="0">
              <a:solidFill>
                <a:srgbClr val="000000"/>
              </a:solidFill>
              <a:latin typeface="Arial"/>
              <a:cs typeface="Arial"/>
            </a:rPr>
            <a:t>Variability in the data can be quantified from the </a:t>
          </a:r>
          <a:r>
            <a:rPr lang="en-US" sz="1400" b="1" i="0" u="none" strike="noStrike" baseline="0">
              <a:solidFill>
                <a:srgbClr val="00ABEA"/>
              </a:solidFill>
              <a:latin typeface="Arial"/>
              <a:cs typeface="Arial"/>
            </a:rPr>
            <a:t>variance</a:t>
          </a:r>
          <a:r>
            <a:rPr lang="en-US" sz="1200" b="0" i="0" u="none" strike="noStrike" baseline="0">
              <a:solidFill>
                <a:srgbClr val="000000"/>
              </a:solidFill>
              <a:latin typeface="Arial"/>
              <a:cs typeface="Arial"/>
            </a:rPr>
            <a:t>, which basically calculates the average distance between each individual value and the mean (the x with the "bar" over it).</a:t>
          </a:r>
        </a:p>
        <a:p>
          <a:pPr algn="l" rtl="0">
            <a:defRPr sz="1000"/>
          </a:pPr>
          <a:endParaRPr lang="en-US" sz="1200" b="0" i="0" u="none" strike="noStrike" baseline="0">
            <a:solidFill>
              <a:srgbClr val="000000"/>
            </a:solidFill>
            <a:latin typeface="Arial"/>
            <a:cs typeface="Arial"/>
          </a:endParaRPr>
        </a:p>
        <a:p>
          <a:pPr algn="l" rtl="0">
            <a:defRPr sz="1000"/>
          </a:pPr>
          <a:endParaRPr lang="en-US" sz="1200" b="0" i="0" u="none" strike="noStrike" baseline="0">
            <a:solidFill>
              <a:srgbClr val="000000"/>
            </a:solidFill>
            <a:latin typeface="Arial"/>
            <a:cs typeface="Arial"/>
          </a:endParaRPr>
        </a:p>
        <a:p>
          <a:pPr algn="l" rtl="0">
            <a:defRPr sz="1000"/>
          </a:pPr>
          <a:r>
            <a:rPr lang="en-US" sz="1400" b="1" i="0" u="none" strike="noStrike" baseline="0">
              <a:solidFill>
                <a:srgbClr val="00ABEA"/>
              </a:solidFill>
              <a:latin typeface="Arial"/>
              <a:cs typeface="Arial"/>
            </a:rPr>
            <a:t>Standard deviation</a:t>
          </a:r>
          <a:r>
            <a:rPr lang="en-US" sz="1200" b="0" i="0" u="none" strike="noStrike" baseline="0">
              <a:solidFill>
                <a:srgbClr val="000000"/>
              </a:solidFill>
              <a:latin typeface="Arial"/>
              <a:cs typeface="Arial"/>
            </a:rPr>
            <a:t> is just the square root of the variance, and it is convenient because the mean </a:t>
          </a:r>
          <a:r>
            <a:rPr lang="en-US" sz="1200" b="0" i="0" u="sng" strike="noStrike" baseline="0">
              <a:solidFill>
                <a:srgbClr val="000000"/>
              </a:solidFill>
              <a:latin typeface="Arial"/>
              <a:cs typeface="Arial"/>
            </a:rPr>
            <a:t>+</a:t>
          </a:r>
          <a:r>
            <a:rPr lang="en-US" sz="1200" b="0" i="0" u="none" strike="noStrike" baseline="0">
              <a:solidFill>
                <a:srgbClr val="000000"/>
              </a:solidFill>
              <a:latin typeface="Arial"/>
              <a:cs typeface="Arial"/>
            </a:rPr>
            <a:t> 1 SD captures 68% of the observations, and the mean </a:t>
          </a:r>
          <a:r>
            <a:rPr lang="en-US" sz="1200" b="0" i="0" u="sng" strike="noStrike" baseline="0">
              <a:solidFill>
                <a:srgbClr val="000000"/>
              </a:solidFill>
              <a:latin typeface="Arial"/>
              <a:cs typeface="Arial"/>
            </a:rPr>
            <a:t>+</a:t>
          </a:r>
          <a:r>
            <a:rPr lang="en-US" sz="1200" b="0" i="0" u="none" strike="noStrike" baseline="0">
              <a:solidFill>
                <a:srgbClr val="000000"/>
              </a:solidFill>
              <a:latin typeface="Arial"/>
              <a:cs typeface="Arial"/>
            </a:rPr>
            <a:t> 2 SD captures 95% of the observations.</a:t>
          </a:r>
        </a:p>
        <a:p>
          <a:pPr algn="l" rtl="0">
            <a:defRPr sz="1000"/>
          </a:pPr>
          <a:endParaRPr lang="en-US" sz="1200" b="0" i="0" u="none" strike="noStrike" baseline="0">
            <a:solidFill>
              <a:srgbClr val="000000"/>
            </a:solidFill>
            <a:latin typeface="Arial"/>
            <a:cs typeface="Arial"/>
          </a:endParaRPr>
        </a:p>
        <a:p>
          <a:pPr algn="l" rtl="0">
            <a:defRPr sz="1000"/>
          </a:pPr>
          <a:endParaRPr lang="en-US" sz="1200" b="0" i="0" u="none" strike="noStrike" baseline="0">
            <a:solidFill>
              <a:srgbClr val="000000"/>
            </a:solidFill>
            <a:latin typeface="Arial"/>
            <a:cs typeface="Arial"/>
          </a:endParaRPr>
        </a:p>
        <a:p>
          <a:pPr algn="l" rtl="0">
            <a:defRPr sz="1000"/>
          </a:pPr>
          <a:endParaRPr lang="en-US" sz="1200" b="0" i="0" u="none" strike="noStrike" baseline="0">
            <a:solidFill>
              <a:srgbClr val="000000"/>
            </a:solidFill>
            <a:latin typeface="Arial"/>
            <a:cs typeface="Arial"/>
          </a:endParaRP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Note the functions that are used to calculate variance and SD in Excel. Then compare the standard deviations for datasets 1 and 2, and see how these affect the shape of the frequency distributions. Data </a:t>
          </a:r>
        </a:p>
        <a:p>
          <a:pPr algn="l" rtl="0">
            <a:defRPr sz="1000"/>
          </a:pPr>
          <a:endParaRPr lang="en-US" sz="2000" b="0" i="0" u="none" strike="noStrike" baseline="0">
            <a:solidFill>
              <a:srgbClr val="000000"/>
            </a:solidFill>
            <a:latin typeface="Arial"/>
            <a:cs typeface="Arial"/>
          </a:endParaRPr>
        </a:p>
        <a:p>
          <a:pPr algn="l" rtl="0">
            <a:defRPr sz="1000"/>
          </a:pPr>
          <a:endParaRPr lang="en-US"/>
        </a:p>
      </xdr:txBody>
    </xdr:sp>
    <xdr:clientData/>
  </xdr:twoCellAnchor>
  <xdr:twoCellAnchor>
    <xdr:from>
      <xdr:col>4</xdr:col>
      <xdr:colOff>563880</xdr:colOff>
      <xdr:row>63</xdr:row>
      <xdr:rowOff>68580</xdr:rowOff>
    </xdr:from>
    <xdr:to>
      <xdr:col>5</xdr:col>
      <xdr:colOff>144780</xdr:colOff>
      <xdr:row>65</xdr:row>
      <xdr:rowOff>0</xdr:rowOff>
    </xdr:to>
    <xdr:sp macro="" textlink="">
      <xdr:nvSpPr>
        <xdr:cNvPr id="3517700" name="Line 38"/>
        <xdr:cNvSpPr>
          <a:spLocks noChangeShapeType="1"/>
        </xdr:cNvSpPr>
      </xdr:nvSpPr>
      <xdr:spPr bwMode="auto">
        <a:xfrm flipV="1">
          <a:off x="3611880" y="11033760"/>
          <a:ext cx="175260"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xdr:colOff>
      <xdr:row>63</xdr:row>
      <xdr:rowOff>68580</xdr:rowOff>
    </xdr:from>
    <xdr:to>
      <xdr:col>5</xdr:col>
      <xdr:colOff>243840</xdr:colOff>
      <xdr:row>65</xdr:row>
      <xdr:rowOff>45720</xdr:rowOff>
    </xdr:to>
    <xdr:sp macro="" textlink="">
      <xdr:nvSpPr>
        <xdr:cNvPr id="3517701" name="Line 39"/>
        <xdr:cNvSpPr>
          <a:spLocks noChangeShapeType="1"/>
        </xdr:cNvSpPr>
      </xdr:nvSpPr>
      <xdr:spPr bwMode="auto">
        <a:xfrm>
          <a:off x="3787140" y="11033760"/>
          <a:ext cx="99060" cy="3124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243840</xdr:colOff>
      <xdr:row>61</xdr:row>
      <xdr:rowOff>99060</xdr:rowOff>
    </xdr:from>
    <xdr:to>
      <xdr:col>5</xdr:col>
      <xdr:colOff>381000</xdr:colOff>
      <xdr:row>65</xdr:row>
      <xdr:rowOff>30480</xdr:rowOff>
    </xdr:to>
    <xdr:sp macro="" textlink="">
      <xdr:nvSpPr>
        <xdr:cNvPr id="3517702" name="Line 40"/>
        <xdr:cNvSpPr>
          <a:spLocks noChangeShapeType="1"/>
        </xdr:cNvSpPr>
      </xdr:nvSpPr>
      <xdr:spPr bwMode="auto">
        <a:xfrm flipV="1">
          <a:off x="3886200" y="10728960"/>
          <a:ext cx="137160" cy="6019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373380</xdr:colOff>
      <xdr:row>61</xdr:row>
      <xdr:rowOff>121920</xdr:rowOff>
    </xdr:from>
    <xdr:to>
      <xdr:col>7</xdr:col>
      <xdr:colOff>441960</xdr:colOff>
      <xdr:row>61</xdr:row>
      <xdr:rowOff>121920</xdr:rowOff>
    </xdr:to>
    <xdr:sp macro="" textlink="">
      <xdr:nvSpPr>
        <xdr:cNvPr id="3517703" name="Line 41"/>
        <xdr:cNvSpPr>
          <a:spLocks noChangeShapeType="1"/>
        </xdr:cNvSpPr>
      </xdr:nvSpPr>
      <xdr:spPr bwMode="auto">
        <a:xfrm>
          <a:off x="4015740" y="10751820"/>
          <a:ext cx="1257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373380</xdr:colOff>
      <xdr:row>33</xdr:row>
      <xdr:rowOff>68580</xdr:rowOff>
    </xdr:from>
    <xdr:to>
      <xdr:col>8</xdr:col>
      <xdr:colOff>312420</xdr:colOff>
      <xdr:row>47</xdr:row>
      <xdr:rowOff>30480</xdr:rowOff>
    </xdr:to>
    <xdr:graphicFrame macro="">
      <xdr:nvGraphicFramePr>
        <xdr:cNvPr id="351770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76200</xdr:colOff>
      <xdr:row>24</xdr:row>
      <xdr:rowOff>99060</xdr:rowOff>
    </xdr:from>
    <xdr:to>
      <xdr:col>6</xdr:col>
      <xdr:colOff>586740</xdr:colOff>
      <xdr:row>38</xdr:row>
      <xdr:rowOff>45720</xdr:rowOff>
    </xdr:to>
    <xdr:sp macro="" textlink="">
      <xdr:nvSpPr>
        <xdr:cNvPr id="3517705" name="Freeform 5"/>
        <xdr:cNvSpPr>
          <a:spLocks/>
        </xdr:cNvSpPr>
      </xdr:nvSpPr>
      <xdr:spPr bwMode="auto">
        <a:xfrm>
          <a:off x="3718560" y="4526280"/>
          <a:ext cx="1104900" cy="2293620"/>
        </a:xfrm>
        <a:custGeom>
          <a:avLst/>
          <a:gdLst>
            <a:gd name="T0" fmla="*/ 0 w 118"/>
            <a:gd name="T1" fmla="*/ 0 h 234"/>
            <a:gd name="T2" fmla="*/ 2147483646 w 118"/>
            <a:gd name="T3" fmla="*/ 2147483646 h 234"/>
            <a:gd name="T4" fmla="*/ 2147483646 w 118"/>
            <a:gd name="T5" fmla="*/ 2147483646 h 234"/>
            <a:gd name="T6" fmla="*/ 0 60000 65536"/>
            <a:gd name="T7" fmla="*/ 0 60000 65536"/>
            <a:gd name="T8" fmla="*/ 0 60000 65536"/>
            <a:gd name="T9" fmla="*/ 0 w 118"/>
            <a:gd name="T10" fmla="*/ 0 h 234"/>
            <a:gd name="T11" fmla="*/ 118 w 118"/>
            <a:gd name="T12" fmla="*/ 234 h 234"/>
          </a:gdLst>
          <a:ahLst/>
          <a:cxnLst>
            <a:cxn ang="T6">
              <a:pos x="T0" y="T1"/>
            </a:cxn>
            <a:cxn ang="T7">
              <a:pos x="T2" y="T3"/>
            </a:cxn>
            <a:cxn ang="T8">
              <a:pos x="T4" y="T5"/>
            </a:cxn>
          </a:cxnLst>
          <a:rect l="T9" t="T10" r="T11" b="T12"/>
          <a:pathLst>
            <a:path w="118" h="234">
              <a:moveTo>
                <a:pt x="0" y="0"/>
              </a:moveTo>
              <a:cubicBezTo>
                <a:pt x="47" y="34"/>
                <a:pt x="94" y="68"/>
                <a:pt x="106" y="107"/>
              </a:cubicBezTo>
              <a:cubicBezTo>
                <a:pt x="118" y="146"/>
                <a:pt x="95" y="190"/>
                <a:pt x="72" y="234"/>
              </a:cubicBezTo>
            </a:path>
          </a:pathLst>
        </a:custGeom>
        <a:noFill/>
        <a:ln w="38100" cmpd="sng">
          <a:solidFill>
            <a:srgbClr val="000000"/>
          </a:solidFill>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480060</xdr:colOff>
      <xdr:row>47</xdr:row>
      <xdr:rowOff>121920</xdr:rowOff>
    </xdr:from>
    <xdr:to>
      <xdr:col>6</xdr:col>
      <xdr:colOff>144780</xdr:colOff>
      <xdr:row>47</xdr:row>
      <xdr:rowOff>121920</xdr:rowOff>
    </xdr:to>
    <xdr:sp macro="" textlink="">
      <xdr:nvSpPr>
        <xdr:cNvPr id="3517706" name="Line 6"/>
        <xdr:cNvSpPr>
          <a:spLocks noChangeShapeType="1"/>
        </xdr:cNvSpPr>
      </xdr:nvSpPr>
      <xdr:spPr bwMode="auto">
        <a:xfrm>
          <a:off x="2933700" y="8404860"/>
          <a:ext cx="144780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320040</xdr:colOff>
      <xdr:row>50</xdr:row>
      <xdr:rowOff>121920</xdr:rowOff>
    </xdr:from>
    <xdr:to>
      <xdr:col>7</xdr:col>
      <xdr:colOff>213360</xdr:colOff>
      <xdr:row>50</xdr:row>
      <xdr:rowOff>121920</xdr:rowOff>
    </xdr:to>
    <xdr:sp macro="" textlink="">
      <xdr:nvSpPr>
        <xdr:cNvPr id="3517707" name="Line 7"/>
        <xdr:cNvSpPr>
          <a:spLocks noChangeShapeType="1"/>
        </xdr:cNvSpPr>
      </xdr:nvSpPr>
      <xdr:spPr bwMode="auto">
        <a:xfrm>
          <a:off x="2179320" y="8907780"/>
          <a:ext cx="286512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xdr:colOff>
      <xdr:row>34</xdr:row>
      <xdr:rowOff>45720</xdr:rowOff>
    </xdr:from>
    <xdr:to>
      <xdr:col>5</xdr:col>
      <xdr:colOff>22860</xdr:colOff>
      <xdr:row>52</xdr:row>
      <xdr:rowOff>45720</xdr:rowOff>
    </xdr:to>
    <xdr:sp macro="" textlink="">
      <xdr:nvSpPr>
        <xdr:cNvPr id="3517708" name="Line 8"/>
        <xdr:cNvSpPr>
          <a:spLocks noChangeShapeType="1"/>
        </xdr:cNvSpPr>
      </xdr:nvSpPr>
      <xdr:spPr bwMode="auto">
        <a:xfrm>
          <a:off x="3649980" y="6149340"/>
          <a:ext cx="15240" cy="30175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4</xdr:col>
      <xdr:colOff>151765</xdr:colOff>
      <xdr:row>48</xdr:row>
      <xdr:rowOff>26670</xdr:rowOff>
    </xdr:from>
    <xdr:ext cx="859594" cy="193818"/>
    <xdr:sp macro="" textlink="">
      <xdr:nvSpPr>
        <xdr:cNvPr id="6153" name="Text Box 9"/>
        <xdr:cNvSpPr txBox="1">
          <a:spLocks noChangeArrowheads="1"/>
        </xdr:cNvSpPr>
      </xdr:nvSpPr>
      <xdr:spPr bwMode="auto">
        <a:xfrm>
          <a:off x="3199765" y="8477250"/>
          <a:ext cx="859594" cy="170560"/>
        </a:xfrm>
        <a:prstGeom prst="rect">
          <a:avLst/>
        </a:prstGeom>
        <a:solidFill>
          <a:srgbClr val="FFFF00"/>
        </a:solidFill>
        <a:ln>
          <a:noFill/>
        </a:ln>
        <a:extLst/>
      </xdr:spPr>
      <xdr:txBody>
        <a:bodyPr wrap="none" lIns="18288" tIns="22860" rIns="0" bIns="0" anchor="t" upright="1">
          <a:spAutoFit/>
        </a:bodyPr>
        <a:lstStyle/>
        <a:p>
          <a:pPr algn="l" rtl="0">
            <a:defRPr sz="1000"/>
          </a:pPr>
          <a:r>
            <a:rPr lang="en-US" sz="1000" b="0" i="0" u="none" strike="noStrike" baseline="0">
              <a:solidFill>
                <a:srgbClr val="000000"/>
              </a:solidFill>
              <a:latin typeface="Arial"/>
              <a:cs typeface="Arial"/>
            </a:rPr>
            <a:t>+/- 1 SD =68%</a:t>
          </a:r>
        </a:p>
      </xdr:txBody>
    </xdr:sp>
    <xdr:clientData/>
  </xdr:oneCellAnchor>
  <xdr:oneCellAnchor>
    <xdr:from>
      <xdr:col>4</xdr:col>
      <xdr:colOff>183515</xdr:colOff>
      <xdr:row>51</xdr:row>
      <xdr:rowOff>0</xdr:rowOff>
    </xdr:from>
    <xdr:ext cx="859594" cy="193818"/>
    <xdr:sp macro="" textlink="">
      <xdr:nvSpPr>
        <xdr:cNvPr id="6154" name="Text Box 10"/>
        <xdr:cNvSpPr txBox="1">
          <a:spLocks noChangeArrowheads="1"/>
        </xdr:cNvSpPr>
      </xdr:nvSpPr>
      <xdr:spPr bwMode="auto">
        <a:xfrm>
          <a:off x="3231515" y="8953500"/>
          <a:ext cx="859594" cy="170560"/>
        </a:xfrm>
        <a:prstGeom prst="rect">
          <a:avLst/>
        </a:prstGeom>
        <a:solidFill>
          <a:srgbClr val="FFFF00"/>
        </a:solidFill>
        <a:ln>
          <a:noFill/>
        </a:ln>
        <a:extLst/>
      </xdr:spPr>
      <xdr:txBody>
        <a:bodyPr wrap="none" lIns="18288" tIns="22860" rIns="0" bIns="0" anchor="t" upright="1">
          <a:spAutoFit/>
        </a:bodyPr>
        <a:lstStyle/>
        <a:p>
          <a:pPr algn="l" rtl="0">
            <a:defRPr sz="1000"/>
          </a:pPr>
          <a:r>
            <a:rPr lang="en-US" sz="1000" b="0" i="0" u="none" strike="noStrike" baseline="0">
              <a:solidFill>
                <a:srgbClr val="000000"/>
              </a:solidFill>
              <a:latin typeface="Arial"/>
              <a:cs typeface="Arial"/>
            </a:rPr>
            <a:t>+/- 2 SD =95%</a:t>
          </a:r>
        </a:p>
      </xdr:txBody>
    </xdr:sp>
    <xdr:clientData/>
  </xdr:oneCellAnchor>
  <xdr:twoCellAnchor>
    <xdr:from>
      <xdr:col>15</xdr:col>
      <xdr:colOff>76200</xdr:colOff>
      <xdr:row>24</xdr:row>
      <xdr:rowOff>99060</xdr:rowOff>
    </xdr:from>
    <xdr:to>
      <xdr:col>16</xdr:col>
      <xdr:colOff>586740</xdr:colOff>
      <xdr:row>38</xdr:row>
      <xdr:rowOff>45720</xdr:rowOff>
    </xdr:to>
    <xdr:sp macro="" textlink="">
      <xdr:nvSpPr>
        <xdr:cNvPr id="3517711" name="Freeform 12"/>
        <xdr:cNvSpPr>
          <a:spLocks/>
        </xdr:cNvSpPr>
      </xdr:nvSpPr>
      <xdr:spPr bwMode="auto">
        <a:xfrm>
          <a:off x="11056620" y="4526280"/>
          <a:ext cx="1104900" cy="2293620"/>
        </a:xfrm>
        <a:custGeom>
          <a:avLst/>
          <a:gdLst>
            <a:gd name="T0" fmla="*/ 0 w 118"/>
            <a:gd name="T1" fmla="*/ 0 h 234"/>
            <a:gd name="T2" fmla="*/ 2147483646 w 118"/>
            <a:gd name="T3" fmla="*/ 2147483646 h 234"/>
            <a:gd name="T4" fmla="*/ 2147483646 w 118"/>
            <a:gd name="T5" fmla="*/ 2147483646 h 234"/>
            <a:gd name="T6" fmla="*/ 0 60000 65536"/>
            <a:gd name="T7" fmla="*/ 0 60000 65536"/>
            <a:gd name="T8" fmla="*/ 0 60000 65536"/>
            <a:gd name="T9" fmla="*/ 0 w 118"/>
            <a:gd name="T10" fmla="*/ 0 h 234"/>
            <a:gd name="T11" fmla="*/ 118 w 118"/>
            <a:gd name="T12" fmla="*/ 234 h 234"/>
          </a:gdLst>
          <a:ahLst/>
          <a:cxnLst>
            <a:cxn ang="T6">
              <a:pos x="T0" y="T1"/>
            </a:cxn>
            <a:cxn ang="T7">
              <a:pos x="T2" y="T3"/>
            </a:cxn>
            <a:cxn ang="T8">
              <a:pos x="T4" y="T5"/>
            </a:cxn>
          </a:cxnLst>
          <a:rect l="T9" t="T10" r="T11" b="T12"/>
          <a:pathLst>
            <a:path w="118" h="234">
              <a:moveTo>
                <a:pt x="0" y="0"/>
              </a:moveTo>
              <a:cubicBezTo>
                <a:pt x="47" y="34"/>
                <a:pt x="94" y="68"/>
                <a:pt x="106" y="107"/>
              </a:cubicBezTo>
              <a:cubicBezTo>
                <a:pt x="118" y="146"/>
                <a:pt x="95" y="190"/>
                <a:pt x="72" y="234"/>
              </a:cubicBezTo>
            </a:path>
          </a:pathLst>
        </a:custGeom>
        <a:noFill/>
        <a:ln w="38100" cmpd="sng">
          <a:solidFill>
            <a:srgbClr val="000000"/>
          </a:solidFill>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304800</xdr:colOff>
      <xdr:row>47</xdr:row>
      <xdr:rowOff>121920</xdr:rowOff>
    </xdr:from>
    <xdr:to>
      <xdr:col>14</xdr:col>
      <xdr:colOff>480060</xdr:colOff>
      <xdr:row>47</xdr:row>
      <xdr:rowOff>121920</xdr:rowOff>
    </xdr:to>
    <xdr:sp macro="" textlink="">
      <xdr:nvSpPr>
        <xdr:cNvPr id="3517712" name="Line 13"/>
        <xdr:cNvSpPr>
          <a:spLocks noChangeShapeType="1"/>
        </xdr:cNvSpPr>
      </xdr:nvSpPr>
      <xdr:spPr bwMode="auto">
        <a:xfrm flipV="1">
          <a:off x="10096500" y="8404860"/>
          <a:ext cx="76962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480060</xdr:colOff>
      <xdr:row>50</xdr:row>
      <xdr:rowOff>99060</xdr:rowOff>
    </xdr:from>
    <xdr:to>
      <xdr:col>15</xdr:col>
      <xdr:colOff>381000</xdr:colOff>
      <xdr:row>50</xdr:row>
      <xdr:rowOff>99060</xdr:rowOff>
    </xdr:to>
    <xdr:sp macro="" textlink="">
      <xdr:nvSpPr>
        <xdr:cNvPr id="3517713" name="Line 14"/>
        <xdr:cNvSpPr>
          <a:spLocks noChangeShapeType="1"/>
        </xdr:cNvSpPr>
      </xdr:nvSpPr>
      <xdr:spPr bwMode="auto">
        <a:xfrm flipV="1">
          <a:off x="9677400" y="8884920"/>
          <a:ext cx="168402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oneCellAnchor>
    <xdr:from>
      <xdr:col>13</xdr:col>
      <xdr:colOff>252095</xdr:colOff>
      <xdr:row>48</xdr:row>
      <xdr:rowOff>36195</xdr:rowOff>
    </xdr:from>
    <xdr:ext cx="859594" cy="193818"/>
    <xdr:sp macro="" textlink="">
      <xdr:nvSpPr>
        <xdr:cNvPr id="6160" name="Text Box 16"/>
        <xdr:cNvSpPr txBox="1">
          <a:spLocks noChangeArrowheads="1"/>
        </xdr:cNvSpPr>
      </xdr:nvSpPr>
      <xdr:spPr bwMode="auto">
        <a:xfrm>
          <a:off x="10043795" y="8486775"/>
          <a:ext cx="859594" cy="170560"/>
        </a:xfrm>
        <a:prstGeom prst="rect">
          <a:avLst/>
        </a:prstGeom>
        <a:solidFill>
          <a:srgbClr val="FFFF00"/>
        </a:solidFill>
        <a:ln>
          <a:noFill/>
        </a:ln>
        <a:extLst/>
      </xdr:spPr>
      <xdr:txBody>
        <a:bodyPr wrap="none" lIns="18288" tIns="22860" rIns="0" bIns="0" anchor="t" upright="1">
          <a:spAutoFit/>
        </a:bodyPr>
        <a:lstStyle/>
        <a:p>
          <a:pPr algn="l" rtl="0">
            <a:defRPr sz="1000"/>
          </a:pPr>
          <a:r>
            <a:rPr lang="en-US" sz="1000" b="0" i="0" u="none" strike="noStrike" baseline="0">
              <a:solidFill>
                <a:srgbClr val="000000"/>
              </a:solidFill>
              <a:latin typeface="Arial"/>
              <a:cs typeface="Arial"/>
            </a:rPr>
            <a:t>+/- 1 SD =68%</a:t>
          </a:r>
        </a:p>
      </xdr:txBody>
    </xdr:sp>
    <xdr:clientData/>
  </xdr:oneCellAnchor>
  <xdr:oneCellAnchor>
    <xdr:from>
      <xdr:col>13</xdr:col>
      <xdr:colOff>240665</xdr:colOff>
      <xdr:row>51</xdr:row>
      <xdr:rowOff>0</xdr:rowOff>
    </xdr:from>
    <xdr:ext cx="867269" cy="193818"/>
    <xdr:sp macro="" textlink="">
      <xdr:nvSpPr>
        <xdr:cNvPr id="6161" name="Text Box 17"/>
        <xdr:cNvSpPr txBox="1">
          <a:spLocks noChangeArrowheads="1"/>
        </xdr:cNvSpPr>
      </xdr:nvSpPr>
      <xdr:spPr bwMode="auto">
        <a:xfrm>
          <a:off x="10032365" y="8953500"/>
          <a:ext cx="859594" cy="170560"/>
        </a:xfrm>
        <a:prstGeom prst="rect">
          <a:avLst/>
        </a:prstGeom>
        <a:solidFill>
          <a:srgbClr val="FFFF00"/>
        </a:solidFill>
        <a:ln>
          <a:noFill/>
        </a:ln>
        <a:extLst/>
      </xdr:spPr>
      <xdr:txBody>
        <a:bodyPr wrap="none" lIns="18288" tIns="22860" rIns="0" bIns="0" anchor="t" upright="1">
          <a:spAutoFit/>
        </a:bodyPr>
        <a:lstStyle/>
        <a:p>
          <a:pPr algn="l" rtl="0">
            <a:defRPr sz="1000"/>
          </a:pPr>
          <a:r>
            <a:rPr lang="en-US" sz="1000" b="0" i="0" u="none" strike="noStrike" baseline="0">
              <a:solidFill>
                <a:srgbClr val="000000"/>
              </a:solidFill>
              <a:latin typeface="Arial"/>
              <a:cs typeface="Arial"/>
            </a:rPr>
            <a:t>+/- 2 SD =95%</a:t>
          </a:r>
        </a:p>
      </xdr:txBody>
    </xdr:sp>
    <xdr:clientData/>
  </xdr:oneCellAnchor>
  <xdr:twoCellAnchor>
    <xdr:from>
      <xdr:col>11</xdr:col>
      <xdr:colOff>114300</xdr:colOff>
      <xdr:row>33</xdr:row>
      <xdr:rowOff>45720</xdr:rowOff>
    </xdr:from>
    <xdr:to>
      <xdr:col>18</xdr:col>
      <xdr:colOff>76200</xdr:colOff>
      <xdr:row>47</xdr:row>
      <xdr:rowOff>30480</xdr:rowOff>
    </xdr:to>
    <xdr:graphicFrame macro="">
      <xdr:nvGraphicFramePr>
        <xdr:cNvPr id="3517716"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76200</xdr:colOff>
      <xdr:row>34</xdr:row>
      <xdr:rowOff>45720</xdr:rowOff>
    </xdr:from>
    <xdr:to>
      <xdr:col>14</xdr:col>
      <xdr:colOff>76200</xdr:colOff>
      <xdr:row>52</xdr:row>
      <xdr:rowOff>45720</xdr:rowOff>
    </xdr:to>
    <xdr:sp macro="" textlink="">
      <xdr:nvSpPr>
        <xdr:cNvPr id="3517717" name="Line 15"/>
        <xdr:cNvSpPr>
          <a:spLocks noChangeShapeType="1"/>
        </xdr:cNvSpPr>
      </xdr:nvSpPr>
      <xdr:spPr bwMode="auto">
        <a:xfrm>
          <a:off x="10462260" y="6149340"/>
          <a:ext cx="0" cy="30175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350520</xdr:colOff>
      <xdr:row>1</xdr:row>
      <xdr:rowOff>190500</xdr:rowOff>
    </xdr:from>
    <xdr:to>
      <xdr:col>10</xdr:col>
      <xdr:colOff>102263</xdr:colOff>
      <xdr:row>19</xdr:row>
      <xdr:rowOff>26660</xdr:rowOff>
    </xdr:to>
    <xdr:sp macro="" textlink="">
      <xdr:nvSpPr>
        <xdr:cNvPr id="6164" name="Rectangle 20"/>
        <xdr:cNvSpPr>
          <a:spLocks noChangeArrowheads="1"/>
        </xdr:cNvSpPr>
      </xdr:nvSpPr>
      <xdr:spPr bwMode="auto">
        <a:xfrm>
          <a:off x="962025" y="657225"/>
          <a:ext cx="7153275" cy="2857500"/>
        </a:xfrm>
        <a:prstGeom prst="rect">
          <a:avLst/>
        </a:prstGeom>
        <a:solidFill>
          <a:srgbClr val="CCFFFF"/>
        </a:solidFill>
        <a:ln>
          <a:noFill/>
        </a:ln>
        <a:effectLst/>
        <a:scene3d>
          <a:camera prst="legacyObliqueTopLeft"/>
          <a:lightRig rig="legacyFlat3" dir="t"/>
        </a:scene3d>
        <a:sp3d extrusionH="430200" prstMaterial="legacyMatte">
          <a:bevelT w="13500" h="13500" prst="angle"/>
          <a:bevelB w="13500" h="13500" prst="angle"/>
          <a:extrusionClr>
            <a:srgbClr val="CCFFFF"/>
          </a:extrusionClr>
        </a:sp3d>
        <a:extLst/>
      </xdr:spPr>
      <xdr:txBody>
        <a:bodyPr vertOverflow="clip" wrap="square" lIns="91440" tIns="45720" rIns="91440" bIns="45720" anchor="t" upright="1"/>
        <a:lstStyle/>
        <a:p>
          <a:pPr algn="l" rtl="0">
            <a:defRPr sz="1000"/>
          </a:pPr>
          <a:r>
            <a:rPr lang="en-US" sz="1200" b="0" i="0" u="none" strike="noStrike" baseline="0">
              <a:solidFill>
                <a:srgbClr val="000000"/>
              </a:solidFill>
              <a:latin typeface="Arial"/>
              <a:cs typeface="Arial"/>
            </a:rPr>
            <a:t>Many biological characteristics that are measurements follow a </a:t>
          </a:r>
          <a:r>
            <a:rPr lang="en-US" sz="1400" b="1" i="0" u="none" strike="noStrike" baseline="0">
              <a:solidFill>
                <a:srgbClr val="000000"/>
              </a:solidFill>
              <a:latin typeface="Arial"/>
              <a:cs typeface="Arial"/>
            </a:rPr>
            <a:t>Normal distribution</a:t>
          </a:r>
          <a:r>
            <a:rPr lang="en-US" sz="1200" b="0" i="0" u="none" strike="noStrike" baseline="0">
              <a:solidFill>
                <a:srgbClr val="000000"/>
              </a:solidFill>
              <a:latin typeface="Arial"/>
              <a:cs typeface="Arial"/>
            </a:rPr>
            <a:t> fairly closely, meaning their frequency distributions are bell-shaped and symmetrical around a mean or average value. The shape of the bell will vary between tall &amp; skinny for samples with relatively little variability to short &amp; wide for samples that have a lot of variability. To the right and left in green are two datasets that show values of body mass index (BMI). I can </a:t>
          </a:r>
          <a:r>
            <a:rPr lang="en-US" sz="1200" b="1" i="0" u="none" strike="noStrike" baseline="0">
              <a:solidFill>
                <a:srgbClr val="000000"/>
              </a:solidFill>
              <a:latin typeface="Arial"/>
              <a:cs typeface="Arial"/>
            </a:rPr>
            <a:t>graph the </a:t>
          </a:r>
          <a:r>
            <a:rPr lang="en-US" sz="1400" b="1" i="0" u="none" strike="noStrike" baseline="0">
              <a:solidFill>
                <a:srgbClr val="000000"/>
              </a:solidFill>
              <a:latin typeface="Arial"/>
              <a:cs typeface="Arial"/>
            </a:rPr>
            <a:t>frequency distribution</a:t>
          </a:r>
          <a:r>
            <a:rPr lang="en-US" sz="1200" b="0" i="0" u="none" strike="noStrike" baseline="0">
              <a:solidFill>
                <a:srgbClr val="000000"/>
              </a:solidFill>
              <a:latin typeface="Arial"/>
              <a:cs typeface="Arial"/>
            </a:rPr>
            <a:t> of each dataset by following these steps: 1) select the block of data; 2) click on "Data" from the tool bar above, and choose "Sort"; 3) i indicate that it is to be sorted according to the column the data is located in, and select "Ok." 3) With the data sorted I can easily determine the minimum and maximum values and the frequency of each of value in the range. Put these tallies in the smaller table entitled "Counts for Bar Chart". 4) select the 2 column block of data in the "Counts for Bar Chart" and click on the Graph icon from the toolbar above (the miniature, multicolored vertical bar chart). Indicate a vertical bar chart. </a:t>
          </a:r>
          <a:r>
            <a:rPr lang="en-US" sz="1200" b="1" i="0" u="none" strike="noStrike" baseline="0">
              <a:solidFill>
                <a:srgbClr val="000000"/>
              </a:solidFill>
              <a:latin typeface="Arial"/>
              <a:cs typeface="Arial"/>
            </a:rPr>
            <a:t>Note:</a:t>
          </a:r>
          <a:r>
            <a:rPr lang="en-US" sz="1200" b="0" i="0" u="none" strike="noStrike" baseline="0">
              <a:solidFill>
                <a:srgbClr val="000000"/>
              </a:solidFill>
              <a:latin typeface="Arial"/>
              <a:cs typeface="Arial"/>
            </a:rPr>
            <a:t> If it graphs the BMI and Frequency as two separate entities, you may have to first create the chart as an "XY Scatter" to indicate that they are related, and then convert the chart to a vertical bar. </a:t>
          </a:r>
          <a:r>
            <a:rPr lang="en-US" sz="1400" b="1" i="0" u="none" strike="noStrike" baseline="0">
              <a:solidFill>
                <a:srgbClr val="000000"/>
              </a:solidFill>
              <a:latin typeface="Arial"/>
              <a:cs typeface="Arial"/>
            </a:rPr>
            <a:t>Scroll down</a:t>
          </a:r>
          <a:r>
            <a:rPr lang="en-US" sz="1200" b="0" i="0" u="none" strike="noStrike" baseline="0">
              <a:solidFill>
                <a:srgbClr val="000000"/>
              </a:solidFill>
              <a:latin typeface="Arial"/>
              <a:cs typeface="Arial"/>
            </a:rPr>
            <a:t> to view the graph and for information about mean, standard deviation, etc.</a:t>
          </a:r>
        </a:p>
      </xdr:txBody>
    </xdr:sp>
    <xdr:clientData/>
  </xdr:twoCellAnchor>
  <xdr:twoCellAnchor editAs="oneCell">
    <xdr:from>
      <xdr:col>1</xdr:col>
      <xdr:colOff>0</xdr:colOff>
      <xdr:row>55</xdr:row>
      <xdr:rowOff>0</xdr:rowOff>
    </xdr:from>
    <xdr:to>
      <xdr:col>1</xdr:col>
      <xdr:colOff>304800</xdr:colOff>
      <xdr:row>56</xdr:row>
      <xdr:rowOff>137160</xdr:rowOff>
    </xdr:to>
    <xdr:sp macro="" textlink="">
      <xdr:nvSpPr>
        <xdr:cNvPr id="3517719" name="AutoShape 22" descr="Formula"/>
        <xdr:cNvSpPr>
          <a:spLocks noChangeAspect="1" noChangeArrowheads="1"/>
        </xdr:cNvSpPr>
      </xdr:nvSpPr>
      <xdr:spPr bwMode="auto">
        <a:xfrm>
          <a:off x="594360" y="962406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274320</xdr:colOff>
      <xdr:row>53</xdr:row>
      <xdr:rowOff>99060</xdr:rowOff>
    </xdr:from>
    <xdr:to>
      <xdr:col>7</xdr:col>
      <xdr:colOff>243840</xdr:colOff>
      <xdr:row>60</xdr:row>
      <xdr:rowOff>99060</xdr:rowOff>
    </xdr:to>
    <xdr:grpSp>
      <xdr:nvGrpSpPr>
        <xdr:cNvPr id="3517720" name="Group 32"/>
        <xdr:cNvGrpSpPr>
          <a:grpSpLocks/>
        </xdr:cNvGrpSpPr>
      </xdr:nvGrpSpPr>
      <xdr:grpSpPr bwMode="auto">
        <a:xfrm>
          <a:off x="3916680" y="9387840"/>
          <a:ext cx="1158240" cy="1173480"/>
          <a:chOff x="400" y="915"/>
          <a:chExt cx="125" cy="117"/>
        </a:xfrm>
      </xdr:grpSpPr>
      <xdr:sp macro="" textlink="">
        <xdr:nvSpPr>
          <xdr:cNvPr id="6172" name="Text Box 28"/>
          <xdr:cNvSpPr txBox="1">
            <a:spLocks noChangeArrowheads="1"/>
          </xdr:cNvSpPr>
        </xdr:nvSpPr>
        <xdr:spPr bwMode="auto">
          <a:xfrm>
            <a:off x="400" y="933"/>
            <a:ext cx="99" cy="99"/>
          </a:xfrm>
          <a:prstGeom prst="rect">
            <a:avLst/>
          </a:prstGeom>
          <a:noFill/>
          <a:ln>
            <a:noFill/>
          </a:ln>
          <a:extLst/>
        </xdr:spPr>
        <xdr:txBody>
          <a:bodyPr wrap="none" lIns="91440" tIns="45720" rIns="91440" bIns="45720" anchor="t" upright="1">
            <a:spAutoFit/>
          </a:bodyPr>
          <a:lstStyle/>
          <a:p>
            <a:pPr algn="l" rtl="0">
              <a:lnSpc>
                <a:spcPts val="1900"/>
              </a:lnSpc>
              <a:defRPr sz="1000"/>
            </a:pPr>
            <a:r>
              <a:rPr lang="fi-FI" sz="2000" b="0" i="0" u="none" strike="noStrike" baseline="0">
                <a:solidFill>
                  <a:srgbClr val="000000"/>
                </a:solidFill>
                <a:latin typeface="Symbol"/>
                <a:ea typeface="Symbol"/>
                <a:cs typeface="Symbol"/>
              </a:rPr>
              <a:t></a:t>
            </a:r>
            <a:r>
              <a:rPr lang="fi-FI" sz="2000" b="0" i="0" u="none" strike="noStrike" baseline="0">
                <a:solidFill>
                  <a:srgbClr val="000000"/>
                </a:solidFill>
                <a:latin typeface="Times New Roman"/>
                <a:ea typeface="Times New Roman"/>
                <a:cs typeface="Times New Roman"/>
              </a:rPr>
              <a:t>(x – x)</a:t>
            </a:r>
          </a:p>
          <a:p>
            <a:pPr algn="l" rtl="0">
              <a:lnSpc>
                <a:spcPts val="1800"/>
              </a:lnSpc>
              <a:defRPr sz="1000"/>
            </a:pPr>
            <a:r>
              <a:rPr lang="fi-FI" sz="2000" b="0" i="0" u="none" strike="noStrike" baseline="0">
                <a:solidFill>
                  <a:srgbClr val="000000"/>
                </a:solidFill>
                <a:latin typeface="Times New Roman"/>
                <a:ea typeface="Times New Roman"/>
                <a:cs typeface="Times New Roman"/>
              </a:rPr>
              <a:t>    n -1</a:t>
            </a:r>
          </a:p>
          <a:p>
            <a:pPr algn="l" rtl="0">
              <a:lnSpc>
                <a:spcPts val="1700"/>
              </a:lnSpc>
              <a:defRPr sz="1000"/>
            </a:pPr>
            <a:endParaRPr lang="fi-FI" sz="2000" b="0" i="0" u="none" strike="noStrike" baseline="0">
              <a:solidFill>
                <a:srgbClr val="000000"/>
              </a:solidFill>
              <a:latin typeface="Times New Roman"/>
              <a:ea typeface="Times New Roman"/>
              <a:cs typeface="Times New Roman"/>
            </a:endParaRPr>
          </a:p>
        </xdr:txBody>
      </xdr:sp>
      <xdr:sp macro="" textlink="">
        <xdr:nvSpPr>
          <xdr:cNvPr id="6173" name="Text Box 29"/>
          <xdr:cNvSpPr txBox="1">
            <a:spLocks noChangeArrowheads="1"/>
          </xdr:cNvSpPr>
        </xdr:nvSpPr>
        <xdr:spPr bwMode="auto">
          <a:xfrm>
            <a:off x="489" y="915"/>
            <a:ext cx="36" cy="48"/>
          </a:xfrm>
          <a:prstGeom prst="rect">
            <a:avLst/>
          </a:prstGeom>
          <a:noFill/>
          <a:ln>
            <a:noFill/>
          </a:ln>
          <a:extLst/>
        </xdr:spPr>
        <xdr:txBody>
          <a:bodyPr vertOverflow="clip" wrap="square" lIns="91440" tIns="45720" rIns="91440" bIns="45720" anchor="t" upright="1"/>
          <a:lstStyle/>
          <a:p>
            <a:pPr algn="l" rtl="0">
              <a:lnSpc>
                <a:spcPts val="2400"/>
              </a:lnSpc>
              <a:defRPr sz="1000"/>
            </a:pPr>
            <a:r>
              <a:rPr lang="en-US" sz="1800" b="0" i="0" u="none" strike="noStrike" baseline="0">
                <a:solidFill>
                  <a:srgbClr val="000000"/>
                </a:solidFill>
                <a:latin typeface="Times New Roman"/>
                <a:ea typeface="Times New Roman"/>
                <a:cs typeface="Times New Roman"/>
              </a:rPr>
              <a:t>2</a:t>
            </a:r>
            <a:endParaRPr lang="en-US" sz="2400" b="0" i="0" u="none" strike="noStrike" baseline="0">
              <a:solidFill>
                <a:srgbClr val="000000"/>
              </a:solidFill>
              <a:latin typeface="Times New Roman"/>
              <a:ea typeface="Times New Roman"/>
              <a:cs typeface="Times New Roman"/>
            </a:endParaRPr>
          </a:p>
          <a:p>
            <a:pPr algn="l" rtl="0">
              <a:lnSpc>
                <a:spcPts val="2400"/>
              </a:lnSpc>
              <a:defRPr sz="1000"/>
            </a:pPr>
            <a:endParaRPr lang="en-US" sz="2400" b="0" i="0" u="none" strike="noStrike" baseline="0">
              <a:solidFill>
                <a:srgbClr val="000000"/>
              </a:solidFill>
              <a:latin typeface="Times New Roman"/>
              <a:ea typeface="Times New Roman"/>
              <a:cs typeface="Times New Roman"/>
            </a:endParaRPr>
          </a:p>
        </xdr:txBody>
      </xdr:sp>
      <xdr:sp macro="" textlink="">
        <xdr:nvSpPr>
          <xdr:cNvPr id="3517730" name="Line 30"/>
          <xdr:cNvSpPr>
            <a:spLocks noChangeShapeType="1"/>
          </xdr:cNvSpPr>
        </xdr:nvSpPr>
        <xdr:spPr bwMode="auto">
          <a:xfrm>
            <a:off x="473" y="947"/>
            <a:ext cx="16"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517731" name="Line 31"/>
          <xdr:cNvSpPr>
            <a:spLocks noChangeShapeType="1"/>
          </xdr:cNvSpPr>
        </xdr:nvSpPr>
        <xdr:spPr bwMode="auto">
          <a:xfrm>
            <a:off x="410" y="975"/>
            <a:ext cx="95"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5</xdr:col>
      <xdr:colOff>304800</xdr:colOff>
      <xdr:row>60</xdr:row>
      <xdr:rowOff>45720</xdr:rowOff>
    </xdr:from>
    <xdr:to>
      <xdr:col>7</xdr:col>
      <xdr:colOff>289560</xdr:colOff>
      <xdr:row>67</xdr:row>
      <xdr:rowOff>45720</xdr:rowOff>
    </xdr:to>
    <xdr:grpSp>
      <xdr:nvGrpSpPr>
        <xdr:cNvPr id="3517721" name="Group 33"/>
        <xdr:cNvGrpSpPr>
          <a:grpSpLocks/>
        </xdr:cNvGrpSpPr>
      </xdr:nvGrpSpPr>
      <xdr:grpSpPr bwMode="auto">
        <a:xfrm>
          <a:off x="3947160" y="10507980"/>
          <a:ext cx="1173480" cy="1173480"/>
          <a:chOff x="400" y="915"/>
          <a:chExt cx="125" cy="117"/>
        </a:xfrm>
      </xdr:grpSpPr>
      <xdr:sp macro="" textlink="">
        <xdr:nvSpPr>
          <xdr:cNvPr id="6178" name="Text Box 34"/>
          <xdr:cNvSpPr txBox="1">
            <a:spLocks noChangeArrowheads="1"/>
          </xdr:cNvSpPr>
        </xdr:nvSpPr>
        <xdr:spPr bwMode="auto">
          <a:xfrm>
            <a:off x="400" y="933"/>
            <a:ext cx="97" cy="99"/>
          </a:xfrm>
          <a:prstGeom prst="rect">
            <a:avLst/>
          </a:prstGeom>
          <a:noFill/>
          <a:ln>
            <a:noFill/>
          </a:ln>
          <a:extLst/>
        </xdr:spPr>
        <xdr:txBody>
          <a:bodyPr wrap="none" lIns="91440" tIns="45720" rIns="91440" bIns="45720" anchor="t" upright="1">
            <a:spAutoFit/>
          </a:bodyPr>
          <a:lstStyle/>
          <a:p>
            <a:pPr algn="l" rtl="0">
              <a:lnSpc>
                <a:spcPts val="1900"/>
              </a:lnSpc>
              <a:defRPr sz="1000"/>
            </a:pPr>
            <a:r>
              <a:rPr lang="fi-FI" sz="2000" b="0" i="0" u="none" strike="noStrike" baseline="0">
                <a:solidFill>
                  <a:srgbClr val="000000"/>
                </a:solidFill>
                <a:latin typeface="Symbol"/>
                <a:ea typeface="Symbol"/>
                <a:cs typeface="Symbol"/>
              </a:rPr>
              <a:t></a:t>
            </a:r>
            <a:r>
              <a:rPr lang="fi-FI" sz="2000" b="0" i="0" u="none" strike="noStrike" baseline="0">
                <a:solidFill>
                  <a:srgbClr val="000000"/>
                </a:solidFill>
                <a:latin typeface="Times New Roman"/>
                <a:ea typeface="Times New Roman"/>
                <a:cs typeface="Times New Roman"/>
              </a:rPr>
              <a:t>(x – x)</a:t>
            </a:r>
          </a:p>
          <a:p>
            <a:pPr algn="l" rtl="0">
              <a:lnSpc>
                <a:spcPts val="1800"/>
              </a:lnSpc>
              <a:defRPr sz="1000"/>
            </a:pPr>
            <a:r>
              <a:rPr lang="fi-FI" sz="2000" b="0" i="0" u="none" strike="noStrike" baseline="0">
                <a:solidFill>
                  <a:srgbClr val="000000"/>
                </a:solidFill>
                <a:latin typeface="Times New Roman"/>
                <a:ea typeface="Times New Roman"/>
                <a:cs typeface="Times New Roman"/>
              </a:rPr>
              <a:t>    n -1</a:t>
            </a:r>
          </a:p>
          <a:p>
            <a:pPr algn="l" rtl="0">
              <a:lnSpc>
                <a:spcPts val="1700"/>
              </a:lnSpc>
              <a:defRPr sz="1000"/>
            </a:pPr>
            <a:endParaRPr lang="fi-FI" sz="2000" b="0" i="0" u="none" strike="noStrike" baseline="0">
              <a:solidFill>
                <a:srgbClr val="000000"/>
              </a:solidFill>
              <a:latin typeface="Times New Roman"/>
              <a:ea typeface="Times New Roman"/>
              <a:cs typeface="Times New Roman"/>
            </a:endParaRPr>
          </a:p>
        </xdr:txBody>
      </xdr:sp>
      <xdr:sp macro="" textlink="">
        <xdr:nvSpPr>
          <xdr:cNvPr id="6179" name="Text Box 35"/>
          <xdr:cNvSpPr txBox="1">
            <a:spLocks noChangeArrowheads="1"/>
          </xdr:cNvSpPr>
        </xdr:nvSpPr>
        <xdr:spPr bwMode="auto">
          <a:xfrm>
            <a:off x="489" y="915"/>
            <a:ext cx="36" cy="48"/>
          </a:xfrm>
          <a:prstGeom prst="rect">
            <a:avLst/>
          </a:prstGeom>
          <a:noFill/>
          <a:ln>
            <a:noFill/>
          </a:ln>
          <a:extLst/>
        </xdr:spPr>
        <xdr:txBody>
          <a:bodyPr vertOverflow="clip" wrap="square" lIns="91440" tIns="45720" rIns="91440" bIns="45720" anchor="t" upright="1"/>
          <a:lstStyle/>
          <a:p>
            <a:pPr algn="l" rtl="0">
              <a:lnSpc>
                <a:spcPts val="2400"/>
              </a:lnSpc>
              <a:defRPr sz="1000"/>
            </a:pPr>
            <a:r>
              <a:rPr lang="en-US" sz="1800" b="0" i="0" u="none" strike="noStrike" baseline="0">
                <a:solidFill>
                  <a:srgbClr val="000000"/>
                </a:solidFill>
                <a:latin typeface="Times New Roman"/>
                <a:ea typeface="Times New Roman"/>
                <a:cs typeface="Times New Roman"/>
              </a:rPr>
              <a:t>2</a:t>
            </a:r>
            <a:endParaRPr lang="en-US" sz="2400" b="0" i="0" u="none" strike="noStrike" baseline="0">
              <a:solidFill>
                <a:srgbClr val="000000"/>
              </a:solidFill>
              <a:latin typeface="Times New Roman"/>
              <a:ea typeface="Times New Roman"/>
              <a:cs typeface="Times New Roman"/>
            </a:endParaRPr>
          </a:p>
          <a:p>
            <a:pPr algn="l" rtl="0">
              <a:lnSpc>
                <a:spcPts val="2400"/>
              </a:lnSpc>
              <a:defRPr sz="1000"/>
            </a:pPr>
            <a:endParaRPr lang="en-US" sz="2400" b="0" i="0" u="none" strike="noStrike" baseline="0">
              <a:solidFill>
                <a:srgbClr val="000000"/>
              </a:solidFill>
              <a:latin typeface="Times New Roman"/>
              <a:ea typeface="Times New Roman"/>
              <a:cs typeface="Times New Roman"/>
            </a:endParaRPr>
          </a:p>
        </xdr:txBody>
      </xdr:sp>
      <xdr:sp macro="" textlink="">
        <xdr:nvSpPr>
          <xdr:cNvPr id="3517726" name="Line 36"/>
          <xdr:cNvSpPr>
            <a:spLocks noChangeShapeType="1"/>
          </xdr:cNvSpPr>
        </xdr:nvSpPr>
        <xdr:spPr bwMode="auto">
          <a:xfrm>
            <a:off x="473" y="947"/>
            <a:ext cx="16"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517727" name="Line 37"/>
          <xdr:cNvSpPr>
            <a:spLocks noChangeShapeType="1"/>
          </xdr:cNvSpPr>
        </xdr:nvSpPr>
        <xdr:spPr bwMode="auto">
          <a:xfrm>
            <a:off x="410" y="975"/>
            <a:ext cx="95"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71755</xdr:colOff>
      <xdr:row>0</xdr:row>
      <xdr:rowOff>87630</xdr:rowOff>
    </xdr:from>
    <xdr:to>
      <xdr:col>8</xdr:col>
      <xdr:colOff>412747</xdr:colOff>
      <xdr:row>1</xdr:row>
      <xdr:rowOff>79</xdr:rowOff>
    </xdr:to>
    <xdr:sp macro="" textlink="">
      <xdr:nvSpPr>
        <xdr:cNvPr id="6196" name="Text Box 52"/>
        <xdr:cNvSpPr txBox="1">
          <a:spLocks noChangeArrowheads="1"/>
        </xdr:cNvSpPr>
      </xdr:nvSpPr>
      <xdr:spPr bwMode="auto">
        <a:xfrm>
          <a:off x="66675" y="95250"/>
          <a:ext cx="5848350" cy="371475"/>
        </a:xfrm>
        <a:prstGeom prst="rect">
          <a:avLst/>
        </a:prstGeom>
        <a:solidFill>
          <a:srgbClr val="FFFF99"/>
        </a:solidFill>
        <a:ln w="9525">
          <a:solidFill>
            <a:srgbClr val="000000"/>
          </a:solidFill>
          <a:miter lim="800000"/>
          <a:headEnd/>
          <a:tailEnd/>
        </a:ln>
      </xdr:spPr>
      <xdr:txBody>
        <a:bodyPr vertOverflow="clip" wrap="square" lIns="36576" tIns="27432" rIns="36576" bIns="27432" anchor="ctr" upright="1"/>
        <a:lstStyle/>
        <a:p>
          <a:pPr algn="ctr" rtl="0">
            <a:defRPr sz="1000"/>
          </a:pPr>
          <a:r>
            <a:rPr lang="en-US" sz="1400" b="1" i="0" u="none" strike="noStrike" baseline="0">
              <a:solidFill>
                <a:srgbClr val="008000"/>
              </a:solidFill>
              <a:latin typeface="Arial"/>
              <a:cs typeface="Arial"/>
            </a:rPr>
            <a:t>The Normal Distribution: Mean, Variance, and Standard Deviation</a:t>
          </a:r>
        </a:p>
      </xdr:txBody>
    </xdr:sp>
    <xdr:clientData/>
  </xdr:twoCellAnchor>
  <xdr:twoCellAnchor>
    <xdr:from>
      <xdr:col>0</xdr:col>
      <xdr:colOff>180340</xdr:colOff>
      <xdr:row>70</xdr:row>
      <xdr:rowOff>45720</xdr:rowOff>
    </xdr:from>
    <xdr:to>
      <xdr:col>12</xdr:col>
      <xdr:colOff>33667</xdr:colOff>
      <xdr:row>79</xdr:row>
      <xdr:rowOff>36195</xdr:rowOff>
    </xdr:to>
    <xdr:sp macro="" textlink="">
      <xdr:nvSpPr>
        <xdr:cNvPr id="6197" name="Text Box 53"/>
        <xdr:cNvSpPr txBox="1">
          <a:spLocks noChangeArrowheads="1"/>
        </xdr:cNvSpPr>
      </xdr:nvSpPr>
      <xdr:spPr bwMode="auto">
        <a:xfrm>
          <a:off x="200025" y="11791950"/>
          <a:ext cx="9029700" cy="1447800"/>
        </a:xfrm>
        <a:prstGeom prst="rect">
          <a:avLst/>
        </a:prstGeom>
        <a:solidFill>
          <a:srgbClr val="C0C0C0"/>
        </a:solidFill>
        <a:ln w="9525">
          <a:miter lim="800000"/>
          <a:headEnd/>
          <a:tailEnd/>
        </a:ln>
        <a:effectLst/>
        <a:scene3d>
          <a:camera prst="legacyObliqueTopLeft"/>
          <a:lightRig rig="legacyFlat3" dir="t"/>
        </a:scene3d>
        <a:sp3d extrusionH="430200" prstMaterial="legacyMatte">
          <a:bevelT w="13500" h="13500" prst="angle"/>
          <a:bevelB w="13500" h="13500" prst="angle"/>
          <a:extrusionClr>
            <a:srgbClr val="C0C0C0"/>
          </a:extrusionClr>
        </a:sp3d>
        <a:extLst/>
      </xdr:spPr>
      <xdr:txBody>
        <a:bodyPr vertOverflow="clip" wrap="square" lIns="36576" tIns="27432" rIns="0" bIns="0" anchor="t" upright="1"/>
        <a:lstStyle/>
        <a:p>
          <a:pPr algn="l" rtl="0">
            <a:defRPr sz="1000"/>
          </a:pPr>
          <a:r>
            <a:rPr lang="en-US" sz="1200" b="1" i="0" u="none" strike="noStrike" baseline="0">
              <a:solidFill>
                <a:srgbClr val="00ABEA"/>
              </a:solidFill>
              <a:latin typeface="Arial"/>
              <a:cs typeface="Arial"/>
            </a:rPr>
            <a:t>Using SD versus SEM</a:t>
          </a:r>
          <a:r>
            <a:rPr lang="en-US" sz="1200" b="1" i="0" u="none" strike="noStrike" baseline="0">
              <a:solidFill>
                <a:srgbClr val="000000"/>
              </a:solidFill>
              <a:latin typeface="Arial"/>
              <a:cs typeface="Arial"/>
            </a:rPr>
            <a:t>: </a:t>
          </a:r>
          <a:r>
            <a:rPr lang="en-US" sz="1200" b="0" i="0" u="none" strike="noStrike" baseline="0">
              <a:solidFill>
                <a:srgbClr val="000000"/>
              </a:solidFill>
              <a:latin typeface="Arial"/>
              <a:cs typeface="Arial"/>
            </a:rPr>
            <a:t>A standard deviation from a sample is an estimate of the population SD, e.g. the degree of variability of body weight in the population. The SEM is a measure of the precision of our estimate of the population’s mean. The precision of this estimate will increase as the sample size increases, i.e. the SEM will be narrower with larger samples. </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If the purpose is to describe a group of patients, for example, to see if they are typical in their variability one should use SD (e.g. see Tables 2&amp; 3 in Gottlieb et al.: N. Engl. J. Med. 1981; 305:1425-31). However, if the purpose is to estimate the mean in a group or the prevalence of disease, one should use SEM or a confidence interval.</a:t>
          </a:r>
        </a:p>
        <a:p>
          <a:pPr algn="l" rtl="0">
            <a:defRPr sz="1000"/>
          </a:pPr>
          <a:endParaRPr lang="en-US"/>
        </a:p>
      </xdr:txBody>
    </xdr:sp>
    <xdr:clientData/>
  </xdr:twoCellAnchor>
</xdr:wsDr>
</file>

<file path=xl/drawings/drawing12.xml><?xml version="1.0" encoding="utf-8"?>
<xdr:wsDr xmlns:xdr="http://schemas.openxmlformats.org/drawingml/2006/spreadsheetDrawing" xmlns:a="http://schemas.openxmlformats.org/drawingml/2006/main">
  <xdr:oneCellAnchor>
    <xdr:from>
      <xdr:col>8</xdr:col>
      <xdr:colOff>151765</xdr:colOff>
      <xdr:row>28</xdr:row>
      <xdr:rowOff>133985</xdr:rowOff>
    </xdr:from>
    <xdr:ext cx="3089820" cy="1603003"/>
    <xdr:sp macro="" textlink="">
      <xdr:nvSpPr>
        <xdr:cNvPr id="14337" name="Text Box 1025"/>
        <xdr:cNvSpPr txBox="1">
          <a:spLocks noChangeArrowheads="1"/>
        </xdr:cNvSpPr>
      </xdr:nvSpPr>
      <xdr:spPr bwMode="auto">
        <a:xfrm>
          <a:off x="5744845" y="5414645"/>
          <a:ext cx="3089820" cy="1603003"/>
        </a:xfrm>
        <a:prstGeom prst="rect">
          <a:avLst/>
        </a:prstGeom>
        <a:solidFill>
          <a:srgbClr val="C0C0C0"/>
        </a:solidFill>
        <a:ln w="9525">
          <a:solidFill>
            <a:srgbClr val="000000"/>
          </a:solidFill>
          <a:miter lim="800000"/>
          <a:headEnd/>
          <a:tailEnd/>
        </a:ln>
      </xdr:spPr>
      <xdr:txBody>
        <a:bodyPr wrap="none" lIns="91440" tIns="45720" rIns="91440" bIns="45720" anchor="t" upright="1">
          <a:spAutoFit/>
        </a:bodyPr>
        <a:lstStyle/>
        <a:p>
          <a:pPr algn="l" rtl="0">
            <a:defRPr sz="1000"/>
          </a:pPr>
          <a:r>
            <a:rPr lang="en-US" sz="1000" b="0" i="0" u="none" strike="noStrike" baseline="0">
              <a:solidFill>
                <a:srgbClr val="000000"/>
              </a:solidFill>
              <a:latin typeface="Times New Roman"/>
              <a:ea typeface="Times New Roman"/>
              <a:cs typeface="Times New Roman"/>
            </a:rPr>
            <a:t>  </a:t>
          </a:r>
          <a:r>
            <a:rPr lang="en-US" sz="1200" b="1" i="0" u="none" strike="noStrike" baseline="0">
              <a:solidFill>
                <a:srgbClr val="000000"/>
              </a:solidFill>
              <a:latin typeface="Times New Roman"/>
              <a:ea typeface="Times New Roman"/>
              <a:cs typeface="Times New Roman"/>
            </a:rPr>
            <a:t>Florida</a:t>
          </a:r>
          <a:r>
            <a:rPr lang="en-US" sz="1000" b="0" i="0" u="none" strike="noStrike" baseline="0">
              <a:solidFill>
                <a:srgbClr val="000000"/>
              </a:solidFill>
              <a:latin typeface="Times New Roman"/>
              <a:ea typeface="Times New Roman"/>
              <a:cs typeface="Times New Roman"/>
            </a:rPr>
            <a:t>                           % of total   Rate per         </a:t>
          </a:r>
        </a:p>
        <a:p>
          <a:pPr algn="l" rtl="0">
            <a:defRPr sz="1000"/>
          </a:pPr>
          <a:r>
            <a:rPr lang="en-US" sz="1000" b="0" i="0" u="sng" strike="noStrike" baseline="0">
              <a:solidFill>
                <a:srgbClr val="000000"/>
              </a:solidFill>
              <a:latin typeface="Times New Roman"/>
              <a:ea typeface="Times New Roman"/>
              <a:cs typeface="Times New Roman"/>
            </a:rPr>
            <a:t>Age</a:t>
          </a:r>
          <a:r>
            <a:rPr lang="en-US" sz="1000" b="0" i="0" u="none" strike="noStrike" baseline="0">
              <a:solidFill>
                <a:srgbClr val="000000"/>
              </a:solidFill>
              <a:latin typeface="Times New Roman"/>
              <a:ea typeface="Times New Roman"/>
              <a:cs typeface="Times New Roman"/>
            </a:rPr>
            <a:t>    </a:t>
          </a:r>
          <a:r>
            <a:rPr lang="en-US" sz="1000" b="0" i="0" u="sng" strike="noStrike" baseline="0">
              <a:solidFill>
                <a:srgbClr val="000000"/>
              </a:solidFill>
              <a:latin typeface="Times New Roman"/>
              <a:ea typeface="Times New Roman"/>
              <a:cs typeface="Times New Roman"/>
            </a:rPr>
            <a:t>Deaths</a:t>
          </a:r>
          <a:r>
            <a:rPr lang="en-US" sz="1000" b="0" i="0" u="none" strike="noStrike" baseline="0">
              <a:solidFill>
                <a:srgbClr val="000000"/>
              </a:solidFill>
              <a:latin typeface="Times New Roman"/>
              <a:ea typeface="Times New Roman"/>
              <a:cs typeface="Times New Roman"/>
            </a:rPr>
            <a:t>       Pop.     </a:t>
          </a:r>
          <a:r>
            <a:rPr lang="en-US" sz="1000" b="0" i="0" u="sng" strike="noStrike" baseline="0">
              <a:solidFill>
                <a:srgbClr val="000000"/>
              </a:solidFill>
              <a:latin typeface="Times New Roman"/>
              <a:ea typeface="Times New Roman"/>
              <a:cs typeface="Times New Roman"/>
            </a:rPr>
            <a:t>(</a:t>
          </a:r>
          <a:r>
            <a:rPr lang="en-US" sz="1000" b="0" i="1" u="sng" strike="noStrike" baseline="0">
              <a:solidFill>
                <a:srgbClr val="000000"/>
              </a:solidFill>
              <a:latin typeface="Times New Roman"/>
              <a:ea typeface="Times New Roman"/>
              <a:cs typeface="Times New Roman"/>
            </a:rPr>
            <a:t>Weight</a:t>
          </a:r>
          <a:r>
            <a:rPr lang="en-US" sz="1000" b="0" i="0" u="sng" strike="noStrike" baseline="0">
              <a:solidFill>
                <a:srgbClr val="000000"/>
              </a:solidFill>
              <a:latin typeface="Times New Roman"/>
              <a:ea typeface="Times New Roman"/>
              <a:cs typeface="Times New Roman"/>
            </a:rPr>
            <a:t>) </a:t>
          </a:r>
          <a:r>
            <a:rPr lang="en-US" sz="1000" b="0" i="0" u="none" strike="noStrike" baseline="0">
              <a:solidFill>
                <a:srgbClr val="000000"/>
              </a:solidFill>
              <a:latin typeface="Times New Roman"/>
              <a:ea typeface="Times New Roman"/>
              <a:cs typeface="Times New Roman"/>
            </a:rPr>
            <a:t>   </a:t>
          </a:r>
          <a:r>
            <a:rPr lang="en-US" sz="1000" b="0" i="0" u="sng" strike="noStrike" baseline="0">
              <a:solidFill>
                <a:srgbClr val="000000"/>
              </a:solidFill>
              <a:latin typeface="Times New Roman"/>
              <a:ea typeface="Times New Roman"/>
              <a:cs typeface="Times New Roman"/>
            </a:rPr>
            <a:t>100,000</a:t>
          </a:r>
          <a:endParaRPr lang="en-US" sz="1000" b="0" i="0" u="none" strike="noStrike" baseline="0">
            <a:solidFill>
              <a:srgbClr val="000000"/>
            </a:solidFill>
            <a:latin typeface="Times New Roman"/>
            <a:ea typeface="Times New Roman"/>
            <a:cs typeface="Times New Roman"/>
          </a:endParaRPr>
        </a:p>
        <a:p>
          <a:pPr algn="l" rtl="0">
            <a:defRPr sz="1000"/>
          </a:pPr>
          <a:r>
            <a:rPr lang="en-US" sz="1000" b="0" i="0" u="none" strike="noStrike" baseline="0">
              <a:solidFill>
                <a:srgbClr val="000000"/>
              </a:solidFill>
              <a:latin typeface="Times New Roman"/>
              <a:ea typeface="Times New Roman"/>
              <a:cs typeface="Times New Roman"/>
            </a:rPr>
            <a:t>&lt;5          2,414      850,000       7%             284             </a:t>
          </a:r>
        </a:p>
        <a:p>
          <a:pPr algn="l" rtl="0">
            <a:defRPr sz="1000"/>
          </a:pPr>
          <a:r>
            <a:rPr lang="en-US" sz="1000" b="0" i="0" u="none" strike="noStrike" baseline="0">
              <a:solidFill>
                <a:srgbClr val="000000"/>
              </a:solidFill>
              <a:latin typeface="Times New Roman"/>
              <a:ea typeface="Times New Roman"/>
              <a:cs typeface="Times New Roman"/>
            </a:rPr>
            <a:t>5-19       1,300   2,280,000     18%               57     </a:t>
          </a:r>
        </a:p>
        <a:p>
          <a:pPr algn="l" rtl="0">
            <a:defRPr sz="1000"/>
          </a:pPr>
          <a:r>
            <a:rPr lang="en-US" sz="1000" b="0" i="0" u="none" strike="noStrike" baseline="0">
              <a:solidFill>
                <a:srgbClr val="000000"/>
              </a:solidFill>
              <a:latin typeface="Times New Roman"/>
              <a:ea typeface="Times New Roman"/>
              <a:cs typeface="Times New Roman"/>
            </a:rPr>
            <a:t>20-44     8,732   4,410,000     36%             198     </a:t>
          </a:r>
        </a:p>
        <a:p>
          <a:pPr algn="l" rtl="0">
            <a:defRPr sz="1000"/>
          </a:pPr>
          <a:r>
            <a:rPr lang="en-US" sz="1000" b="0" i="0" u="none" strike="noStrike" baseline="0">
              <a:solidFill>
                <a:srgbClr val="000000"/>
              </a:solidFill>
              <a:latin typeface="Times New Roman"/>
              <a:ea typeface="Times New Roman"/>
              <a:cs typeface="Times New Roman"/>
            </a:rPr>
            <a:t>45-64   21,190   2,600,000     21%             815     </a:t>
          </a:r>
        </a:p>
        <a:p>
          <a:pPr algn="l" rtl="0">
            <a:defRPr sz="1000"/>
          </a:pPr>
          <a:r>
            <a:rPr lang="en-US" sz="1000" b="0" i="0" u="none" strike="noStrike" baseline="0">
              <a:solidFill>
                <a:srgbClr val="000000"/>
              </a:solidFill>
              <a:latin typeface="Times New Roman"/>
              <a:ea typeface="Times New Roman"/>
              <a:cs typeface="Times New Roman"/>
            </a:rPr>
            <a:t>&gt;65      </a:t>
          </a:r>
          <a:r>
            <a:rPr lang="en-US" sz="1000" b="0" i="0" u="sng" strike="noStrike" baseline="0">
              <a:solidFill>
                <a:srgbClr val="000000"/>
              </a:solidFill>
              <a:latin typeface="Times New Roman"/>
              <a:ea typeface="Times New Roman"/>
              <a:cs typeface="Times New Roman"/>
            </a:rPr>
            <a:t>97,350</a:t>
          </a:r>
          <a:r>
            <a:rPr lang="en-US" sz="1000" b="0" i="0" u="none" strike="noStrike" baseline="0">
              <a:solidFill>
                <a:srgbClr val="000000"/>
              </a:solidFill>
              <a:latin typeface="Times New Roman"/>
              <a:ea typeface="Times New Roman"/>
              <a:cs typeface="Times New Roman"/>
            </a:rPr>
            <a:t>   </a:t>
          </a:r>
          <a:r>
            <a:rPr lang="en-US" sz="1000" b="0" i="0" u="sng" strike="noStrike" baseline="0">
              <a:solidFill>
                <a:srgbClr val="000000"/>
              </a:solidFill>
              <a:latin typeface="Times New Roman"/>
              <a:ea typeface="Times New Roman"/>
              <a:cs typeface="Times New Roman"/>
            </a:rPr>
            <a:t>2,200,000</a:t>
          </a:r>
          <a:r>
            <a:rPr lang="en-US" sz="1000" b="0" i="0" u="none" strike="noStrike" baseline="0">
              <a:solidFill>
                <a:srgbClr val="000000"/>
              </a:solidFill>
              <a:latin typeface="Times New Roman"/>
              <a:ea typeface="Times New Roman"/>
              <a:cs typeface="Times New Roman"/>
            </a:rPr>
            <a:t>     </a:t>
          </a:r>
          <a:r>
            <a:rPr lang="en-US" sz="1000" b="0" i="0" u="sng" strike="noStrike" baseline="0">
              <a:solidFill>
                <a:srgbClr val="000000"/>
              </a:solidFill>
              <a:latin typeface="Times New Roman"/>
              <a:ea typeface="Times New Roman"/>
              <a:cs typeface="Times New Roman"/>
            </a:rPr>
            <a:t>18%</a:t>
          </a:r>
          <a:r>
            <a:rPr lang="en-US" sz="1000" b="0" i="0" u="none" strike="noStrike" baseline="0">
              <a:solidFill>
                <a:srgbClr val="000000"/>
              </a:solidFill>
              <a:latin typeface="Times New Roman"/>
              <a:ea typeface="Times New Roman"/>
              <a:cs typeface="Times New Roman"/>
            </a:rPr>
            <a:t>          4,425   </a:t>
          </a:r>
        </a:p>
        <a:p>
          <a:pPr algn="l" rtl="0">
            <a:defRPr sz="1000"/>
          </a:pPr>
          <a:r>
            <a:rPr lang="en-US" sz="1000" b="0" i="0" u="none" strike="noStrike" baseline="0">
              <a:solidFill>
                <a:srgbClr val="000000"/>
              </a:solidFill>
              <a:latin typeface="Times New Roman"/>
              <a:ea typeface="Times New Roman"/>
              <a:cs typeface="Times New Roman"/>
            </a:rPr>
            <a:t>Tot.   130,986 12,340,000   100%                                 </a:t>
          </a:r>
        </a:p>
        <a:p>
          <a:pPr algn="l" rtl="0">
            <a:defRPr sz="1000"/>
          </a:pPr>
          <a:endParaRPr lang="en-US" sz="1000" b="0" i="0" u="none" strike="noStrike" baseline="0">
            <a:solidFill>
              <a:srgbClr val="000000"/>
            </a:solidFill>
            <a:latin typeface="Times New Roman"/>
            <a:ea typeface="Times New Roman"/>
            <a:cs typeface="Times New Roman"/>
          </a:endParaRPr>
        </a:p>
        <a:p>
          <a:pPr algn="l" rtl="0">
            <a:lnSpc>
              <a:spcPts val="1200"/>
            </a:lnSpc>
            <a:defRPr sz="1000"/>
          </a:pPr>
          <a:r>
            <a:rPr lang="en-US" sz="1000" b="1" i="0" u="none" strike="noStrike" baseline="0">
              <a:solidFill>
                <a:srgbClr val="000000"/>
              </a:solidFill>
              <a:latin typeface="Times New Roman"/>
              <a:ea typeface="Times New Roman"/>
              <a:cs typeface="Times New Roman"/>
            </a:rPr>
            <a:t>Crude Rate</a:t>
          </a:r>
          <a:r>
            <a:rPr lang="en-US" sz="1000" b="0" i="0" u="none" strike="noStrike" baseline="0">
              <a:solidFill>
                <a:srgbClr val="000000"/>
              </a:solidFill>
              <a:latin typeface="Times New Roman"/>
              <a:ea typeface="Times New Roman"/>
              <a:cs typeface="Times New Roman"/>
            </a:rPr>
            <a:t>= 130,986/12,340,000=1,061 per 100,000    </a:t>
          </a:r>
        </a:p>
      </xdr:txBody>
    </xdr:sp>
    <xdr:clientData/>
  </xdr:oneCellAnchor>
  <xdr:twoCellAnchor>
    <xdr:from>
      <xdr:col>1</xdr:col>
      <xdr:colOff>307340</xdr:colOff>
      <xdr:row>20</xdr:row>
      <xdr:rowOff>74295</xdr:rowOff>
    </xdr:from>
    <xdr:to>
      <xdr:col>13</xdr:col>
      <xdr:colOff>443236</xdr:colOff>
      <xdr:row>25</xdr:row>
      <xdr:rowOff>163909</xdr:rowOff>
    </xdr:to>
    <xdr:sp macro="" textlink="">
      <xdr:nvSpPr>
        <xdr:cNvPr id="14339" name="Text Box 1027"/>
        <xdr:cNvSpPr txBox="1">
          <a:spLocks noChangeArrowheads="1"/>
        </xdr:cNvSpPr>
      </xdr:nvSpPr>
      <xdr:spPr bwMode="auto">
        <a:xfrm>
          <a:off x="914400" y="3724275"/>
          <a:ext cx="8305800" cy="1114425"/>
        </a:xfrm>
        <a:prstGeom prst="rect">
          <a:avLst/>
        </a:prstGeom>
        <a:solidFill>
          <a:srgbClr val="C0C0C0"/>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Suppose you want to compare Florida and Alaska with respect to death rates from cancer. The problem is that death rates are markedly affected by age, and Florida and Alaska have different age distributions. However, we can calculate age-adjusted rates by using a reference or "standard" distribution to determine what the overall rates for Florida and Alaska would have been if their populations had similar distributions. The calculation uses the age-specific rates observed for each population and calculates a weighted average using the "standard" populations distribution for weighting. In this case, the US age distribution in 1988 was used as a standard, but you can use any other standard. Note that the crude rates for Florida and Alaska differ substantially (1,061 per 100,000 vs.391 per 100,000, but Florida has a higher percentage of old people. The standardized (age-adjusted) rates are very similar (797 vs. 750 per 100,000).</a:t>
          </a:r>
        </a:p>
      </xdr:txBody>
    </xdr:sp>
    <xdr:clientData/>
  </xdr:twoCellAnchor>
  <xdr:twoCellAnchor editAs="oneCell">
    <xdr:from>
      <xdr:col>8</xdr:col>
      <xdr:colOff>240665</xdr:colOff>
      <xdr:row>44</xdr:row>
      <xdr:rowOff>26670</xdr:rowOff>
    </xdr:from>
    <xdr:to>
      <xdr:col>12</xdr:col>
      <xdr:colOff>410853</xdr:colOff>
      <xdr:row>54</xdr:row>
      <xdr:rowOff>165727</xdr:rowOff>
    </xdr:to>
    <xdr:sp macro="" textlink="">
      <xdr:nvSpPr>
        <xdr:cNvPr id="14340" name="Text Box 1028"/>
        <xdr:cNvSpPr txBox="1">
          <a:spLocks noChangeArrowheads="1"/>
        </xdr:cNvSpPr>
      </xdr:nvSpPr>
      <xdr:spPr bwMode="auto">
        <a:xfrm>
          <a:off x="5762625" y="7829550"/>
          <a:ext cx="2657475" cy="1762125"/>
        </a:xfrm>
        <a:prstGeom prst="rect">
          <a:avLst/>
        </a:prstGeom>
        <a:solidFill>
          <a:srgbClr val="C0C0C0"/>
        </a:solidFill>
        <a:ln w="9525">
          <a:solidFill>
            <a:srgbClr val="000000"/>
          </a:solidFill>
          <a:miter lim="800000"/>
          <a:headEnd/>
          <a:tailEnd/>
        </a:ln>
      </xdr:spPr>
      <xdr:txBody>
        <a:bodyPr vertOverflow="clip" wrap="square" lIns="91440" tIns="45720" rIns="91440" bIns="45720" anchor="t" upright="1"/>
        <a:lstStyle/>
        <a:p>
          <a:pPr algn="l" rtl="0">
            <a:lnSpc>
              <a:spcPts val="1400"/>
            </a:lnSpc>
            <a:defRPr sz="1000"/>
          </a:pPr>
          <a:r>
            <a:rPr lang="en-US" sz="1000" b="0" i="0" u="none" strike="noStrike" baseline="0">
              <a:solidFill>
                <a:srgbClr val="000000"/>
              </a:solidFill>
              <a:latin typeface="Times New Roman"/>
              <a:ea typeface="Times New Roman"/>
              <a:cs typeface="Times New Roman"/>
            </a:rPr>
            <a:t>  </a:t>
          </a:r>
          <a:r>
            <a:rPr lang="en-US" sz="1200" b="1" i="0" u="none" strike="noStrike" baseline="0">
              <a:solidFill>
                <a:srgbClr val="000000"/>
              </a:solidFill>
              <a:latin typeface="Times New Roman"/>
              <a:ea typeface="Times New Roman"/>
              <a:cs typeface="Times New Roman"/>
            </a:rPr>
            <a:t>Alaska</a:t>
          </a:r>
          <a:r>
            <a:rPr lang="en-US" sz="1000" b="0" i="0" u="none" strike="noStrike" baseline="0">
              <a:solidFill>
                <a:srgbClr val="000000"/>
              </a:solidFill>
              <a:latin typeface="Times New Roman"/>
              <a:ea typeface="Times New Roman"/>
              <a:cs typeface="Times New Roman"/>
            </a:rPr>
            <a:t>                         % of total    Rate per    </a:t>
          </a:r>
        </a:p>
        <a:p>
          <a:pPr algn="l" rtl="0">
            <a:defRPr sz="1000"/>
          </a:pPr>
          <a:r>
            <a:rPr lang="en-US" sz="1000" b="0" i="0" u="sng" strike="noStrike" baseline="0">
              <a:solidFill>
                <a:srgbClr val="000000"/>
              </a:solidFill>
              <a:latin typeface="Times New Roman"/>
              <a:ea typeface="Times New Roman"/>
              <a:cs typeface="Times New Roman"/>
            </a:rPr>
            <a:t>Age</a:t>
          </a:r>
          <a:r>
            <a:rPr lang="en-US" sz="1000" b="0" i="0" u="none" strike="noStrike" baseline="0">
              <a:solidFill>
                <a:srgbClr val="000000"/>
              </a:solidFill>
              <a:latin typeface="Times New Roman"/>
              <a:ea typeface="Times New Roman"/>
              <a:cs typeface="Times New Roman"/>
            </a:rPr>
            <a:t>    </a:t>
          </a:r>
          <a:r>
            <a:rPr lang="en-US" sz="1000" b="0" i="0" u="sng" strike="noStrike" baseline="0">
              <a:solidFill>
                <a:srgbClr val="000000"/>
              </a:solidFill>
              <a:latin typeface="Times New Roman"/>
              <a:ea typeface="Times New Roman"/>
              <a:cs typeface="Times New Roman"/>
            </a:rPr>
            <a:t>Deaths</a:t>
          </a:r>
          <a:r>
            <a:rPr lang="en-US" sz="1000" b="0" i="0" u="none" strike="noStrike" baseline="0">
              <a:solidFill>
                <a:srgbClr val="000000"/>
              </a:solidFill>
              <a:latin typeface="Times New Roman"/>
              <a:ea typeface="Times New Roman"/>
              <a:cs typeface="Times New Roman"/>
            </a:rPr>
            <a:t>       Pop.     </a:t>
          </a:r>
          <a:r>
            <a:rPr lang="en-US" sz="1000" b="0" i="0" u="sng" strike="noStrike" baseline="0">
              <a:solidFill>
                <a:srgbClr val="000000"/>
              </a:solidFill>
              <a:latin typeface="Times New Roman"/>
              <a:ea typeface="Times New Roman"/>
              <a:cs typeface="Times New Roman"/>
            </a:rPr>
            <a:t>(</a:t>
          </a:r>
          <a:r>
            <a:rPr lang="en-US" sz="1000" b="0" i="1" u="sng" strike="noStrike" baseline="0">
              <a:solidFill>
                <a:srgbClr val="000000"/>
              </a:solidFill>
              <a:latin typeface="Times New Roman"/>
              <a:ea typeface="Times New Roman"/>
              <a:cs typeface="Times New Roman"/>
            </a:rPr>
            <a:t>Weight)</a:t>
          </a:r>
          <a:r>
            <a:rPr lang="en-US" sz="1000" b="0" i="0" u="none" strike="noStrike" baseline="0">
              <a:solidFill>
                <a:srgbClr val="000000"/>
              </a:solidFill>
              <a:latin typeface="Times New Roman"/>
              <a:ea typeface="Times New Roman"/>
              <a:cs typeface="Times New Roman"/>
            </a:rPr>
            <a:t>   </a:t>
          </a:r>
          <a:r>
            <a:rPr lang="en-US" sz="1000" b="0" i="0" u="sng" strike="noStrike" baseline="0">
              <a:solidFill>
                <a:srgbClr val="000000"/>
              </a:solidFill>
              <a:latin typeface="Times New Roman"/>
              <a:ea typeface="Times New Roman"/>
              <a:cs typeface="Times New Roman"/>
            </a:rPr>
            <a:t>100,000</a:t>
          </a:r>
          <a:endParaRPr lang="en-US" sz="1000" b="0" i="0" u="none" strike="noStrike" baseline="0">
            <a:solidFill>
              <a:srgbClr val="000000"/>
            </a:solidFill>
            <a:latin typeface="Times New Roman"/>
            <a:ea typeface="Times New Roman"/>
            <a:cs typeface="Times New Roman"/>
          </a:endParaRPr>
        </a:p>
        <a:p>
          <a:pPr algn="l" rtl="0">
            <a:lnSpc>
              <a:spcPts val="1200"/>
            </a:lnSpc>
            <a:defRPr sz="1000"/>
          </a:pPr>
          <a:r>
            <a:rPr lang="en-US" sz="1000" b="0" i="0" u="none" strike="noStrike" baseline="0">
              <a:solidFill>
                <a:srgbClr val="000000"/>
              </a:solidFill>
              <a:latin typeface="Times New Roman"/>
              <a:ea typeface="Times New Roman"/>
              <a:cs typeface="Times New Roman"/>
            </a:rPr>
            <a:t>&lt;5             164      60,000     11%                274</a:t>
          </a:r>
        </a:p>
        <a:p>
          <a:pPr algn="l" rtl="0">
            <a:defRPr sz="1000"/>
          </a:pPr>
          <a:r>
            <a:rPr lang="en-US" sz="1000" b="0" i="0" u="none" strike="noStrike" baseline="0">
              <a:solidFill>
                <a:srgbClr val="000000"/>
              </a:solidFill>
              <a:latin typeface="Times New Roman"/>
              <a:ea typeface="Times New Roman"/>
              <a:cs typeface="Times New Roman"/>
            </a:rPr>
            <a:t>5-19            85    130,000     25%                  65</a:t>
          </a:r>
        </a:p>
        <a:p>
          <a:pPr algn="l" rtl="0">
            <a:lnSpc>
              <a:spcPts val="1200"/>
            </a:lnSpc>
            <a:defRPr sz="1000"/>
          </a:pPr>
          <a:r>
            <a:rPr lang="en-US" sz="1000" b="0" i="0" u="none" strike="noStrike" baseline="0">
              <a:solidFill>
                <a:srgbClr val="000000"/>
              </a:solidFill>
              <a:latin typeface="Times New Roman"/>
              <a:ea typeface="Times New Roman"/>
              <a:cs typeface="Times New Roman"/>
            </a:rPr>
            <a:t>20-44        450    240,000     45%                188</a:t>
          </a:r>
        </a:p>
        <a:p>
          <a:pPr algn="l" rtl="0">
            <a:defRPr sz="1000"/>
          </a:pPr>
          <a:r>
            <a:rPr lang="en-US" sz="1000" b="0" i="0" u="none" strike="noStrike" baseline="0">
              <a:solidFill>
                <a:srgbClr val="000000"/>
              </a:solidFill>
              <a:latin typeface="Times New Roman"/>
              <a:ea typeface="Times New Roman"/>
              <a:cs typeface="Times New Roman"/>
            </a:rPr>
            <a:t>45-64        503      80,000     15%                629</a:t>
          </a:r>
        </a:p>
        <a:p>
          <a:pPr algn="l" rtl="0">
            <a:lnSpc>
              <a:spcPts val="1200"/>
            </a:lnSpc>
            <a:defRPr sz="1000"/>
          </a:pPr>
          <a:r>
            <a:rPr lang="en-US" sz="1000" b="0" i="0" u="none" strike="noStrike" baseline="0">
              <a:solidFill>
                <a:srgbClr val="000000"/>
              </a:solidFill>
              <a:latin typeface="Times New Roman"/>
              <a:ea typeface="Times New Roman"/>
              <a:cs typeface="Times New Roman"/>
            </a:rPr>
            <a:t>&gt;65           </a:t>
          </a:r>
          <a:r>
            <a:rPr lang="en-US" sz="1000" b="0" i="0" u="sng" strike="noStrike" baseline="0">
              <a:solidFill>
                <a:srgbClr val="000000"/>
              </a:solidFill>
              <a:latin typeface="Times New Roman"/>
              <a:ea typeface="Times New Roman"/>
              <a:cs typeface="Times New Roman"/>
            </a:rPr>
            <a:t>870</a:t>
          </a:r>
          <a:r>
            <a:rPr lang="en-US" sz="1000" b="0" i="0" u="none" strike="noStrike" baseline="0">
              <a:solidFill>
                <a:srgbClr val="000000"/>
              </a:solidFill>
              <a:latin typeface="Times New Roman"/>
              <a:ea typeface="Times New Roman"/>
              <a:cs typeface="Times New Roman"/>
            </a:rPr>
            <a:t>     </a:t>
          </a:r>
          <a:r>
            <a:rPr lang="en-US" sz="1000" b="0" i="0" u="sng" strike="noStrike" baseline="0">
              <a:solidFill>
                <a:srgbClr val="000000"/>
              </a:solidFill>
              <a:latin typeface="Times New Roman"/>
              <a:ea typeface="Times New Roman"/>
              <a:cs typeface="Times New Roman"/>
            </a:rPr>
            <a:t> 20,000</a:t>
          </a:r>
          <a:r>
            <a:rPr lang="en-US" sz="1000" b="0" i="0" u="none" strike="noStrike" baseline="0">
              <a:solidFill>
                <a:srgbClr val="000000"/>
              </a:solidFill>
              <a:latin typeface="Times New Roman"/>
              <a:ea typeface="Times New Roman"/>
              <a:cs typeface="Times New Roman"/>
            </a:rPr>
            <a:t>      </a:t>
          </a:r>
          <a:r>
            <a:rPr lang="en-US" sz="1000" b="0" i="0" u="sng" strike="noStrike" baseline="0">
              <a:solidFill>
                <a:srgbClr val="000000"/>
              </a:solidFill>
              <a:latin typeface="Times New Roman"/>
              <a:ea typeface="Times New Roman"/>
              <a:cs typeface="Times New Roman"/>
            </a:rPr>
            <a:t> 4%</a:t>
          </a:r>
          <a:r>
            <a:rPr lang="en-US" sz="1000" b="0" i="0" u="none" strike="noStrike" baseline="0">
              <a:solidFill>
                <a:srgbClr val="000000"/>
              </a:solidFill>
              <a:latin typeface="Times New Roman"/>
              <a:ea typeface="Times New Roman"/>
              <a:cs typeface="Times New Roman"/>
            </a:rPr>
            <a:t>             4,350</a:t>
          </a:r>
        </a:p>
        <a:p>
          <a:pPr algn="l" rtl="0">
            <a:defRPr sz="1000"/>
          </a:pPr>
          <a:r>
            <a:rPr lang="en-US" sz="1000" b="0" i="0" u="none" strike="noStrike" baseline="0">
              <a:solidFill>
                <a:srgbClr val="000000"/>
              </a:solidFill>
              <a:latin typeface="Times New Roman"/>
              <a:ea typeface="Times New Roman"/>
              <a:cs typeface="Times New Roman"/>
            </a:rPr>
            <a:t>Tot.       2,072    530,000    100%</a:t>
          </a:r>
        </a:p>
        <a:p>
          <a:pPr algn="l" rtl="0">
            <a:lnSpc>
              <a:spcPts val="1200"/>
            </a:lnSpc>
            <a:defRPr sz="1000"/>
          </a:pPr>
          <a:endParaRPr lang="en-US" sz="1000" b="0" i="0" u="none" strike="noStrike" baseline="0">
            <a:solidFill>
              <a:srgbClr val="000000"/>
            </a:solidFill>
            <a:latin typeface="Times New Roman"/>
            <a:ea typeface="Times New Roman"/>
            <a:cs typeface="Times New Roman"/>
          </a:endParaRPr>
        </a:p>
        <a:p>
          <a:pPr algn="l" rtl="0">
            <a:defRPr sz="1000"/>
          </a:pPr>
          <a:r>
            <a:rPr lang="en-US" sz="1000" b="1" i="0" u="none" strike="noStrike" baseline="0">
              <a:solidFill>
                <a:srgbClr val="000000"/>
              </a:solidFill>
              <a:latin typeface="Times New Roman"/>
              <a:ea typeface="Times New Roman"/>
              <a:cs typeface="Times New Roman"/>
            </a:rPr>
            <a:t>Crude Rate</a:t>
          </a:r>
          <a:r>
            <a:rPr lang="en-US" sz="1000" b="0" i="0" u="none" strike="noStrike" baseline="0">
              <a:solidFill>
                <a:srgbClr val="000000"/>
              </a:solidFill>
              <a:latin typeface="Times New Roman"/>
              <a:ea typeface="Times New Roman"/>
              <a:cs typeface="Times New Roman"/>
            </a:rPr>
            <a:t>= 2,072/530,000=391 per 100,000   </a:t>
          </a:r>
        </a:p>
      </xdr:txBody>
    </xdr:sp>
    <xdr:clientData/>
  </xdr:twoCellAnchor>
  <xdr:twoCellAnchor>
    <xdr:from>
      <xdr:col>1</xdr:col>
      <xdr:colOff>129540</xdr:colOff>
      <xdr:row>22</xdr:row>
      <xdr:rowOff>30480</xdr:rowOff>
    </xdr:from>
    <xdr:to>
      <xdr:col>1</xdr:col>
      <xdr:colOff>137160</xdr:colOff>
      <xdr:row>26</xdr:row>
      <xdr:rowOff>137160</xdr:rowOff>
    </xdr:to>
    <xdr:sp macro="" textlink="">
      <xdr:nvSpPr>
        <xdr:cNvPr id="15341" name="Line 1029"/>
        <xdr:cNvSpPr>
          <a:spLocks noChangeShapeType="1"/>
        </xdr:cNvSpPr>
      </xdr:nvSpPr>
      <xdr:spPr bwMode="auto">
        <a:xfrm>
          <a:off x="723900" y="4145280"/>
          <a:ext cx="7620" cy="937260"/>
        </a:xfrm>
        <a:prstGeom prst="line">
          <a:avLst/>
        </a:prstGeom>
        <a:noFill/>
        <a:ln w="762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8</xdr:col>
      <xdr:colOff>147954</xdr:colOff>
      <xdr:row>17</xdr:row>
      <xdr:rowOff>0</xdr:rowOff>
    </xdr:from>
    <xdr:to>
      <xdr:col>11</xdr:col>
      <xdr:colOff>1645988</xdr:colOff>
      <xdr:row>19</xdr:row>
      <xdr:rowOff>104775</xdr:rowOff>
    </xdr:to>
    <xdr:sp macro="" textlink="">
      <xdr:nvSpPr>
        <xdr:cNvPr id="15424" name="Text Box 64"/>
        <xdr:cNvSpPr txBox="1">
          <a:spLocks noChangeArrowheads="1"/>
        </xdr:cNvSpPr>
      </xdr:nvSpPr>
      <xdr:spPr bwMode="auto">
        <a:xfrm>
          <a:off x="5958204" y="3095625"/>
          <a:ext cx="2957196" cy="657225"/>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en-US" sz="1200" b="0" i="0" u="none" strike="noStrike" baseline="0">
              <a:solidFill>
                <a:srgbClr val="FF0000"/>
              </a:solidFill>
              <a:latin typeface="Arial"/>
              <a:cs typeface="Arial"/>
            </a:rPr>
            <a:t>The SIR is the ratio of the observed # cases divided by the expected #. The ratio is then multiplied X 100.</a:t>
          </a:r>
        </a:p>
      </xdr:txBody>
    </xdr:sp>
    <xdr:clientData/>
  </xdr:twoCellAnchor>
  <xdr:twoCellAnchor>
    <xdr:from>
      <xdr:col>5</xdr:col>
      <xdr:colOff>22860</xdr:colOff>
      <xdr:row>15</xdr:row>
      <xdr:rowOff>137160</xdr:rowOff>
    </xdr:from>
    <xdr:to>
      <xdr:col>5</xdr:col>
      <xdr:colOff>304800</xdr:colOff>
      <xdr:row>17</xdr:row>
      <xdr:rowOff>60960</xdr:rowOff>
    </xdr:to>
    <xdr:sp macro="" textlink="">
      <xdr:nvSpPr>
        <xdr:cNvPr id="3099956" name="Line 122"/>
        <xdr:cNvSpPr>
          <a:spLocks noChangeShapeType="1"/>
        </xdr:cNvSpPr>
      </xdr:nvSpPr>
      <xdr:spPr bwMode="auto">
        <a:xfrm>
          <a:off x="3771900" y="2933700"/>
          <a:ext cx="281940" cy="25146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472440</xdr:colOff>
      <xdr:row>16</xdr:row>
      <xdr:rowOff>15240</xdr:rowOff>
    </xdr:from>
    <xdr:to>
      <xdr:col>5</xdr:col>
      <xdr:colOff>685800</xdr:colOff>
      <xdr:row>17</xdr:row>
      <xdr:rowOff>60960</xdr:rowOff>
    </xdr:to>
    <xdr:sp macro="" textlink="">
      <xdr:nvSpPr>
        <xdr:cNvPr id="3099957" name="Line 123"/>
        <xdr:cNvSpPr>
          <a:spLocks noChangeShapeType="1"/>
        </xdr:cNvSpPr>
      </xdr:nvSpPr>
      <xdr:spPr bwMode="auto">
        <a:xfrm flipH="1">
          <a:off x="4221480" y="2979420"/>
          <a:ext cx="213360" cy="20574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183515</xdr:colOff>
      <xdr:row>3</xdr:row>
      <xdr:rowOff>38100</xdr:rowOff>
    </xdr:from>
    <xdr:to>
      <xdr:col>12</xdr:col>
      <xdr:colOff>0</xdr:colOff>
      <xdr:row>16</xdr:row>
      <xdr:rowOff>76200</xdr:rowOff>
    </xdr:to>
    <xdr:sp macro="" textlink="">
      <xdr:nvSpPr>
        <xdr:cNvPr id="2" name="TextBox 1"/>
        <xdr:cNvSpPr txBox="1"/>
      </xdr:nvSpPr>
      <xdr:spPr>
        <a:xfrm>
          <a:off x="4648200" y="809625"/>
          <a:ext cx="4629150" cy="2200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en-US" sz="1100" b="1" i="0" u="none" strike="noStrike" baseline="0">
              <a:solidFill>
                <a:srgbClr val="000000"/>
              </a:solidFill>
              <a:latin typeface="Calibri"/>
              <a:ea typeface="Calibri"/>
              <a:cs typeface="Calibri"/>
            </a:rPr>
            <a:t>Calculation of Standardized Incidence Ratios in the MA Cancer Registry</a:t>
          </a:r>
        </a:p>
        <a:p>
          <a:pPr algn="l" rtl="0">
            <a:defRPr sz="1000"/>
          </a:pPr>
          <a:endParaRPr lang="en-US" sz="1100" b="1" i="0" u="none" strike="noStrike" baseline="0">
            <a:solidFill>
              <a:srgbClr val="000000"/>
            </a:solidFill>
            <a:latin typeface="Calibri"/>
            <a:ea typeface="Calibri"/>
            <a:cs typeface="Calibri"/>
          </a:endParaRPr>
        </a:p>
        <a:p>
          <a:pPr algn="l" rtl="0">
            <a:defRPr sz="1000"/>
          </a:pPr>
          <a:r>
            <a:rPr lang="en-US" sz="1100" b="0" i="0" u="none" strike="noStrike" baseline="0">
              <a:solidFill>
                <a:srgbClr val="000000"/>
              </a:solidFill>
              <a:latin typeface="Calibri"/>
              <a:ea typeface="Calibri"/>
              <a:cs typeface="Calibri"/>
            </a:rPr>
            <a:t>In order to monitor for unusual increases in cancer rates in individual municipalities, cancer incidence data are tabulated by age group and gender. The overall rates of cancer for the entire state are computed and used to generated the 'expected' rates for all communities. These expected rates are then applied to the demographics of each municipality in order to compute the 'expected' number of a particular type of cancer. This is then compared to the actual number of cancers that were observed in a given town. The SIR is the (# of observed cancer cases / # expected ) x 100.  Thus, if a town's SIR for breast cancer were 125, this would suggest that the town's breast cancer incidence was 25% greater than that of the state overall.</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38100</xdr:colOff>
      <xdr:row>1</xdr:row>
      <xdr:rowOff>160020</xdr:rowOff>
    </xdr:from>
    <xdr:to>
      <xdr:col>11</xdr:col>
      <xdr:colOff>579120</xdr:colOff>
      <xdr:row>1</xdr:row>
      <xdr:rowOff>830580</xdr:rowOff>
    </xdr:to>
    <xdr:sp macro="" textlink="">
      <xdr:nvSpPr>
        <xdr:cNvPr id="2" name="TextBox 1"/>
        <xdr:cNvSpPr txBox="1"/>
      </xdr:nvSpPr>
      <xdr:spPr>
        <a:xfrm>
          <a:off x="38100" y="441960"/>
          <a:ext cx="7551420" cy="6705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Suppose that</a:t>
          </a:r>
          <a:r>
            <a:rPr lang="en-US" sz="1100" baseline="0"/>
            <a:t> in a given population the average (expected) number of leukemia cases in a given time period is 5, but one observes 12 cases during the time period. What is the probability of observing this as a result of random variation? To compute the relevant probabilities, enter the observed number of cases and the average, or usual number of cases.</a:t>
          </a:r>
        </a:p>
        <a:p>
          <a:endParaRPr 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76199</xdr:colOff>
      <xdr:row>1</xdr:row>
      <xdr:rowOff>83820</xdr:rowOff>
    </xdr:from>
    <xdr:to>
      <xdr:col>12</xdr:col>
      <xdr:colOff>171450</xdr:colOff>
      <xdr:row>1</xdr:row>
      <xdr:rowOff>754380</xdr:rowOff>
    </xdr:to>
    <xdr:sp macro="" textlink="">
      <xdr:nvSpPr>
        <xdr:cNvPr id="2" name="TextBox 1"/>
        <xdr:cNvSpPr txBox="1"/>
      </xdr:nvSpPr>
      <xdr:spPr>
        <a:xfrm>
          <a:off x="76199" y="360045"/>
          <a:ext cx="7658101" cy="6705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en-US" sz="1100"/>
            <a:t>Suppose that</a:t>
          </a:r>
          <a:r>
            <a:rPr lang="en-US" sz="1100" baseline="0"/>
            <a:t> a town has 12 leukemia cases during a given period of time, and 6 of the cases occurred in a census tract where only 17% of the town's population lives. What is the probability of 6 or more cases in this census tract as a result of random variation? To compute the relevant probabilities, enter theprobability of "success" (probability of a case being born in that census tract; the number of  trials (children born); and theobserved number of successes (# of cases that were born in that tract). </a:t>
          </a:r>
        </a:p>
        <a:p>
          <a:endParaRPr 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6</xdr:col>
      <xdr:colOff>45720</xdr:colOff>
      <xdr:row>0</xdr:row>
      <xdr:rowOff>53340</xdr:rowOff>
    </xdr:from>
    <xdr:to>
      <xdr:col>10</xdr:col>
      <xdr:colOff>441960</xdr:colOff>
      <xdr:row>4</xdr:row>
      <xdr:rowOff>22860</xdr:rowOff>
    </xdr:to>
    <xdr:pic>
      <xdr:nvPicPr>
        <xdr:cNvPr id="2450578"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61560" y="53340"/>
          <a:ext cx="2834640" cy="1310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68580</xdr:colOff>
      <xdr:row>10</xdr:row>
      <xdr:rowOff>30480</xdr:rowOff>
    </xdr:from>
    <xdr:to>
      <xdr:col>10</xdr:col>
      <xdr:colOff>601980</xdr:colOff>
      <xdr:row>16</xdr:row>
      <xdr:rowOff>144780</xdr:rowOff>
    </xdr:to>
    <xdr:pic>
      <xdr:nvPicPr>
        <xdr:cNvPr id="2450579"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84420" y="2682240"/>
          <a:ext cx="29718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1</xdr:row>
      <xdr:rowOff>68580</xdr:rowOff>
    </xdr:from>
    <xdr:to>
      <xdr:col>15</xdr:col>
      <xdr:colOff>419100</xdr:colOff>
      <xdr:row>5</xdr:row>
      <xdr:rowOff>45720</xdr:rowOff>
    </xdr:to>
    <xdr:sp macro="" textlink="">
      <xdr:nvSpPr>
        <xdr:cNvPr id="2" name="TextBox 1"/>
        <xdr:cNvSpPr txBox="1"/>
      </xdr:nvSpPr>
      <xdr:spPr>
        <a:xfrm>
          <a:off x="0" y="640080"/>
          <a:ext cx="10553700" cy="1295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en-US" sz="1100">
              <a:solidFill>
                <a:schemeClr val="dk1"/>
              </a:solidFill>
              <a:effectLst/>
              <a:latin typeface="+mn-lt"/>
              <a:ea typeface="+mn-ea"/>
              <a:cs typeface="+mn-cs"/>
            </a:rPr>
            <a:t>This worksheet will compute how</a:t>
          </a:r>
          <a:r>
            <a:rPr lang="en-US" sz="1100" baseline="0">
              <a:solidFill>
                <a:schemeClr val="dk1"/>
              </a:solidFill>
              <a:effectLst/>
              <a:latin typeface="+mn-lt"/>
              <a:ea typeface="+mn-ea"/>
              <a:cs typeface="+mn-cs"/>
            </a:rPr>
            <a:t> your body weight and BMI would change over the course of one year if you added certain physical activites to your life. </a:t>
          </a:r>
          <a:endParaRPr lang="en-US">
            <a:effectLst/>
          </a:endParaRPr>
        </a:p>
        <a:p>
          <a:pPr>
            <a:lnSpc>
              <a:spcPts val="1200"/>
            </a:lnSpc>
          </a:pPr>
          <a:r>
            <a:rPr lang="en-US" sz="1100" baseline="0">
              <a:solidFill>
                <a:schemeClr val="dk1"/>
              </a:solidFill>
              <a:effectLst/>
              <a:latin typeface="+mn-lt"/>
              <a:ea typeface="+mn-ea"/>
              <a:cs typeface="+mn-cs"/>
            </a:rPr>
            <a:t>You need to enter your intial body weight, your height, and your gender. [</a:t>
          </a:r>
          <a:r>
            <a:rPr lang="en-US" sz="1100" b="1" baseline="0">
              <a:solidFill>
                <a:schemeClr val="dk1"/>
              </a:solidFill>
              <a:effectLst/>
              <a:latin typeface="+mn-lt"/>
              <a:ea typeface="+mn-ea"/>
              <a:cs typeface="+mn-cs"/>
            </a:rPr>
            <a:t>Note: </a:t>
          </a:r>
          <a:r>
            <a:rPr lang="en-US" sz="1100" baseline="0">
              <a:solidFill>
                <a:schemeClr val="dk1"/>
              </a:solidFill>
              <a:effectLst/>
              <a:latin typeface="+mn-lt"/>
              <a:ea typeface="+mn-ea"/>
              <a:cs typeface="+mn-cs"/>
            </a:rPr>
            <a:t>entries for gender and new activities are drop down menus. Click on the appropriate cell, and a down arrow will appear which you click on to see the choices.] Then select 1-3 new activities that you might be able to add to your weekly schedule on a regular basis. Also choose the average duration and the average number of times per week that you would engage in that activity. Assuming no other changes in diet or activity, the program will compute predicted changes in your weight and BMI over the course of a year, assuming that you engage in these activities according the the duration and frequency you selected. The program automatically adjusts for the fact that you burn fewer calories at a given activity as your weight decreases. It also adjusts for changes in your basal metabolic rate, taking into account your age, weekly body weight, height, and gender.</a:t>
          </a:r>
          <a:endParaRPr lang="en-US">
            <a:effectLst/>
          </a:endParaRPr>
        </a:p>
      </xdr:txBody>
    </xdr:sp>
    <xdr:clientData/>
  </xdr:twoCellAnchor>
  <xdr:twoCellAnchor>
    <xdr:from>
      <xdr:col>0</xdr:col>
      <xdr:colOff>68580</xdr:colOff>
      <xdr:row>0</xdr:row>
      <xdr:rowOff>68580</xdr:rowOff>
    </xdr:from>
    <xdr:to>
      <xdr:col>10</xdr:col>
      <xdr:colOff>114300</xdr:colOff>
      <xdr:row>1</xdr:row>
      <xdr:rowOff>0</xdr:rowOff>
    </xdr:to>
    <xdr:sp macro="" textlink="">
      <xdr:nvSpPr>
        <xdr:cNvPr id="5" name="TextBox 4"/>
        <xdr:cNvSpPr txBox="1"/>
      </xdr:nvSpPr>
      <xdr:spPr>
        <a:xfrm>
          <a:off x="68580" y="68580"/>
          <a:ext cx="7452360" cy="2743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rgbClr val="0033CC"/>
              </a:solidFill>
            </a:rPr>
            <a:t>Wishbringer: Calculates</a:t>
          </a:r>
          <a:r>
            <a:rPr lang="en-US" sz="1400" baseline="0">
              <a:solidFill>
                <a:srgbClr val="0033CC"/>
              </a:solidFill>
            </a:rPr>
            <a:t> how body weight and BMI would diminish when new activities are added.</a:t>
          </a:r>
          <a:endParaRPr lang="en-US" sz="1400">
            <a:solidFill>
              <a:srgbClr val="0033CC"/>
            </a:solidFill>
          </a:endParaRPr>
        </a:p>
      </xdr:txBody>
    </xdr:sp>
    <xdr:clientData/>
  </xdr:twoCellAnchor>
  <xdr:twoCellAnchor>
    <xdr:from>
      <xdr:col>0</xdr:col>
      <xdr:colOff>15240</xdr:colOff>
      <xdr:row>15</xdr:row>
      <xdr:rowOff>167640</xdr:rowOff>
    </xdr:from>
    <xdr:to>
      <xdr:col>5</xdr:col>
      <xdr:colOff>243840</xdr:colOff>
      <xdr:row>31</xdr:row>
      <xdr:rowOff>91440</xdr:rowOff>
    </xdr:to>
    <xdr:graphicFrame macro="">
      <xdr:nvGraphicFramePr>
        <xdr:cNvPr id="326466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243840</xdr:colOff>
      <xdr:row>15</xdr:row>
      <xdr:rowOff>167640</xdr:rowOff>
    </xdr:from>
    <xdr:to>
      <xdr:col>10</xdr:col>
      <xdr:colOff>563880</xdr:colOff>
      <xdr:row>31</xdr:row>
      <xdr:rowOff>99060</xdr:rowOff>
    </xdr:to>
    <xdr:graphicFrame macro="">
      <xdr:nvGraphicFramePr>
        <xdr:cNvPr id="3264669"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617220</xdr:colOff>
      <xdr:row>25</xdr:row>
      <xdr:rowOff>83820</xdr:rowOff>
    </xdr:from>
    <xdr:to>
      <xdr:col>12</xdr:col>
      <xdr:colOff>0</xdr:colOff>
      <xdr:row>29</xdr:row>
      <xdr:rowOff>137160</xdr:rowOff>
    </xdr:to>
    <xdr:sp macro="" textlink="">
      <xdr:nvSpPr>
        <xdr:cNvPr id="3264670" name="Rectangle 8"/>
        <xdr:cNvSpPr>
          <a:spLocks noChangeArrowheads="1"/>
        </xdr:cNvSpPr>
      </xdr:nvSpPr>
      <xdr:spPr bwMode="auto">
        <a:xfrm>
          <a:off x="4533900" y="5265420"/>
          <a:ext cx="4023360" cy="723900"/>
        </a:xfrm>
        <a:prstGeom prst="rect">
          <a:avLst/>
        </a:prstGeom>
        <a:gradFill rotWithShape="1">
          <a:gsLst>
            <a:gs pos="0">
              <a:srgbClr val="00FF00">
                <a:alpha val="35001"/>
              </a:srgbClr>
            </a:gs>
            <a:gs pos="100000">
              <a:srgbClr val="007600">
                <a:alpha val="32999"/>
              </a:srgbClr>
            </a:gs>
          </a:gsLst>
          <a:lin ang="540000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632460</xdr:colOff>
      <xdr:row>18</xdr:row>
      <xdr:rowOff>121920</xdr:rowOff>
    </xdr:from>
    <xdr:to>
      <xdr:col>12</xdr:col>
      <xdr:colOff>0</xdr:colOff>
      <xdr:row>23</xdr:row>
      <xdr:rowOff>53340</xdr:rowOff>
    </xdr:to>
    <xdr:sp macro="" textlink="">
      <xdr:nvSpPr>
        <xdr:cNvPr id="3264671" name="Rectangle 9"/>
        <xdr:cNvSpPr>
          <a:spLocks noChangeArrowheads="1"/>
        </xdr:cNvSpPr>
      </xdr:nvSpPr>
      <xdr:spPr bwMode="auto">
        <a:xfrm>
          <a:off x="4549140" y="4130040"/>
          <a:ext cx="4008120" cy="769620"/>
        </a:xfrm>
        <a:prstGeom prst="rect">
          <a:avLst/>
        </a:prstGeom>
        <a:solidFill>
          <a:srgbClr xmlns:mc="http://schemas.openxmlformats.org/markup-compatibility/2006" xmlns:a14="http://schemas.microsoft.com/office/drawing/2010/main" val="DD0806" mc:Ignorable="a14" a14:legacySpreadsheetColorIndex="10">
            <a:alpha val="34901"/>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624840</xdr:colOff>
      <xdr:row>23</xdr:row>
      <xdr:rowOff>38100</xdr:rowOff>
    </xdr:from>
    <xdr:to>
      <xdr:col>12</xdr:col>
      <xdr:colOff>0</xdr:colOff>
      <xdr:row>25</xdr:row>
      <xdr:rowOff>76200</xdr:rowOff>
    </xdr:to>
    <xdr:sp macro="" textlink="">
      <xdr:nvSpPr>
        <xdr:cNvPr id="3264672" name="Rectangle 10"/>
        <xdr:cNvSpPr>
          <a:spLocks noChangeArrowheads="1"/>
        </xdr:cNvSpPr>
      </xdr:nvSpPr>
      <xdr:spPr bwMode="auto">
        <a:xfrm>
          <a:off x="4541520" y="4884420"/>
          <a:ext cx="4015740" cy="373380"/>
        </a:xfrm>
        <a:prstGeom prst="rect">
          <a:avLst/>
        </a:prstGeom>
        <a:solidFill>
          <a:srgbClr xmlns:mc="http://schemas.openxmlformats.org/markup-compatibility/2006" xmlns:a14="http://schemas.microsoft.com/office/drawing/2010/main" val="FCF305" mc:Ignorable="a14" a14:legacySpreadsheetColorIndex="13">
            <a:alpha val="34901"/>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18.xml><?xml version="1.0" encoding="utf-8"?>
<xdr:wsDr xmlns:xdr="http://schemas.openxmlformats.org/drawingml/2006/spreadsheetDrawing" xmlns:a="http://schemas.openxmlformats.org/drawingml/2006/main">
  <xdr:oneCellAnchor>
    <xdr:from>
      <xdr:col>3</xdr:col>
      <xdr:colOff>183515</xdr:colOff>
      <xdr:row>31</xdr:row>
      <xdr:rowOff>100965</xdr:rowOff>
    </xdr:from>
    <xdr:ext cx="4346575" cy="204736"/>
    <xdr:sp macro="" textlink="">
      <xdr:nvSpPr>
        <xdr:cNvPr id="17409" name="Text Box 1"/>
        <xdr:cNvSpPr txBox="1">
          <a:spLocks noChangeArrowheads="1"/>
        </xdr:cNvSpPr>
      </xdr:nvSpPr>
      <xdr:spPr bwMode="auto">
        <a:xfrm>
          <a:off x="2842895" y="5777865"/>
          <a:ext cx="4346575" cy="204736"/>
        </a:xfrm>
        <a:prstGeom prst="rect">
          <a:avLst/>
        </a:prstGeom>
        <a:solidFill>
          <a:srgbClr val="FFFF99"/>
        </a:solidFill>
        <a:ln w="9525">
          <a:solidFill>
            <a:srgbClr val="000000"/>
          </a:solidFill>
          <a:miter lim="800000"/>
          <a:headEnd/>
          <a:tailEnd/>
        </a:ln>
      </xdr:spPr>
      <xdr:txBody>
        <a:bodyPr wrap="none" lIns="27432" tIns="27432" rIns="0" bIns="0" anchor="t" upright="1">
          <a:spAutoFit/>
        </a:bodyPr>
        <a:lstStyle/>
        <a:p>
          <a:pPr algn="l" rtl="0">
            <a:defRPr sz="1000"/>
          </a:pPr>
          <a:r>
            <a:rPr lang="en-US" sz="1200" b="1" i="0" u="none" strike="noStrike" baseline="0">
              <a:solidFill>
                <a:srgbClr val="000000"/>
              </a:solidFill>
              <a:latin typeface="Arial"/>
              <a:cs typeface="Arial"/>
            </a:rPr>
            <a:t>Confidence interval for a mean = X =/-  t critical * SD/sqrt(n)</a:t>
          </a:r>
        </a:p>
      </xdr:txBody>
    </xdr:sp>
    <xdr:clientData/>
  </xdr:oneCellAnchor>
  <xdr:twoCellAnchor editAs="oneCell">
    <xdr:from>
      <xdr:col>0</xdr:col>
      <xdr:colOff>100330</xdr:colOff>
      <xdr:row>0</xdr:row>
      <xdr:rowOff>76200</xdr:rowOff>
    </xdr:from>
    <xdr:to>
      <xdr:col>6</xdr:col>
      <xdr:colOff>142227</xdr:colOff>
      <xdr:row>1</xdr:row>
      <xdr:rowOff>80736</xdr:rowOff>
    </xdr:to>
    <xdr:sp macro="" textlink="">
      <xdr:nvSpPr>
        <xdr:cNvPr id="17410" name="Text Box 2"/>
        <xdr:cNvSpPr txBox="1">
          <a:spLocks noChangeArrowheads="1"/>
        </xdr:cNvSpPr>
      </xdr:nvSpPr>
      <xdr:spPr bwMode="auto">
        <a:xfrm>
          <a:off x="95250" y="76200"/>
          <a:ext cx="4505325" cy="666750"/>
        </a:xfrm>
        <a:prstGeom prst="rect">
          <a:avLst/>
        </a:prstGeom>
        <a:solidFill>
          <a:srgbClr val="FFFF99"/>
        </a:solidFill>
        <a:ln w="9525">
          <a:solidFill>
            <a:srgbClr val="000000"/>
          </a:solidFill>
          <a:miter lim="800000"/>
          <a:headEnd/>
          <a:tailEnd/>
        </a:ln>
      </xdr:spPr>
      <xdr:txBody>
        <a:bodyPr vertOverflow="clip" wrap="square" lIns="36576" tIns="27432" rIns="0" bIns="0" anchor="t" upright="1"/>
        <a:lstStyle/>
        <a:p>
          <a:pPr algn="l" rtl="0">
            <a:defRPr sz="1000"/>
          </a:pPr>
          <a:r>
            <a:rPr lang="en-US" sz="1200" b="1" i="0" u="none" strike="noStrike" baseline="0">
              <a:solidFill>
                <a:srgbClr val="000000"/>
              </a:solidFill>
              <a:latin typeface="Arial"/>
              <a:cs typeface="Arial"/>
            </a:rPr>
            <a:t>Descriptive Statistics: Mean, Median, Mode, 95% confidence interval for a mean, Standard Deviation, Standard Error, Range (minimum and maximum)</a:t>
          </a:r>
        </a:p>
      </xdr:txBody>
    </xdr:sp>
    <xdr:clientData/>
  </xdr:twoCellAnchor>
  <xdr:twoCellAnchor>
    <xdr:from>
      <xdr:col>7</xdr:col>
      <xdr:colOff>240665</xdr:colOff>
      <xdr:row>9</xdr:row>
      <xdr:rowOff>71120</xdr:rowOff>
    </xdr:from>
    <xdr:to>
      <xdr:col>9</xdr:col>
      <xdr:colOff>90830</xdr:colOff>
      <xdr:row>15</xdr:row>
      <xdr:rowOff>44537</xdr:rowOff>
    </xdr:to>
    <xdr:sp macro="" textlink="">
      <xdr:nvSpPr>
        <xdr:cNvPr id="17411" name="Text Box 3"/>
        <xdr:cNvSpPr txBox="1">
          <a:spLocks noChangeArrowheads="1"/>
        </xdr:cNvSpPr>
      </xdr:nvSpPr>
      <xdr:spPr bwMode="auto">
        <a:xfrm>
          <a:off x="5305425" y="2019300"/>
          <a:ext cx="1533525" cy="952500"/>
        </a:xfrm>
        <a:prstGeom prst="rect">
          <a:avLst/>
        </a:prstGeom>
        <a:solidFill>
          <a:srgbClr val="FF6600"/>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ea typeface="Arial"/>
              <a:cs typeface="Arial"/>
            </a:rPr>
            <a:t>Note: </a:t>
          </a:r>
        </a:p>
        <a:p>
          <a:pPr algn="l" rtl="0">
            <a:defRPr sz="1000"/>
          </a:pPr>
          <a:endParaRPr lang="en-US" sz="1000" b="1" i="0" u="none" strike="noStrike" baseline="0">
            <a:solidFill>
              <a:srgbClr val="000000"/>
            </a:solidFill>
            <a:latin typeface="Arial"/>
            <a:ea typeface="Arial"/>
            <a:cs typeface="Arial"/>
          </a:endParaRPr>
        </a:p>
        <a:p>
          <a:pPr algn="l" rtl="0">
            <a:defRPr sz="1000"/>
          </a:pPr>
          <a:r>
            <a:rPr lang="en-US" sz="1000" b="1" i="0" u="none" strike="noStrike" baseline="0">
              <a:solidFill>
                <a:srgbClr val="000000"/>
              </a:solidFill>
              <a:latin typeface="Arial"/>
              <a:ea typeface="Arial"/>
              <a:cs typeface="Arial"/>
            </a:rPr>
            <a:t>This worksheet is currently under development.</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2</xdr:col>
      <xdr:colOff>76200</xdr:colOff>
      <xdr:row>40</xdr:row>
      <xdr:rowOff>22860</xdr:rowOff>
    </xdr:from>
    <xdr:to>
      <xdr:col>3</xdr:col>
      <xdr:colOff>152400</xdr:colOff>
      <xdr:row>43</xdr:row>
      <xdr:rowOff>99060</xdr:rowOff>
    </xdr:to>
    <xdr:sp macro="" textlink="">
      <xdr:nvSpPr>
        <xdr:cNvPr id="3362026" name="Line 1"/>
        <xdr:cNvSpPr>
          <a:spLocks noChangeShapeType="1"/>
        </xdr:cNvSpPr>
      </xdr:nvSpPr>
      <xdr:spPr bwMode="auto">
        <a:xfrm flipH="1">
          <a:off x="1264920" y="7749540"/>
          <a:ext cx="670560" cy="57912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137160</xdr:colOff>
      <xdr:row>44</xdr:row>
      <xdr:rowOff>68580</xdr:rowOff>
    </xdr:from>
    <xdr:to>
      <xdr:col>4</xdr:col>
      <xdr:colOff>45720</xdr:colOff>
      <xdr:row>46</xdr:row>
      <xdr:rowOff>38100</xdr:rowOff>
    </xdr:to>
    <xdr:sp macro="" textlink="">
      <xdr:nvSpPr>
        <xdr:cNvPr id="3362027" name="Line 3"/>
        <xdr:cNvSpPr>
          <a:spLocks noChangeShapeType="1"/>
        </xdr:cNvSpPr>
      </xdr:nvSpPr>
      <xdr:spPr bwMode="auto">
        <a:xfrm>
          <a:off x="1920240" y="8465820"/>
          <a:ext cx="502920" cy="3048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33655</xdr:colOff>
      <xdr:row>66</xdr:row>
      <xdr:rowOff>0</xdr:rowOff>
    </xdr:from>
    <xdr:to>
      <xdr:col>14</xdr:col>
      <xdr:colOff>90830</xdr:colOff>
      <xdr:row>76</xdr:row>
      <xdr:rowOff>126423</xdr:rowOff>
    </xdr:to>
    <xdr:sp macro="" textlink="">
      <xdr:nvSpPr>
        <xdr:cNvPr id="3080" name="Text Box 8"/>
        <xdr:cNvSpPr txBox="1">
          <a:spLocks noChangeArrowheads="1"/>
        </xdr:cNvSpPr>
      </xdr:nvSpPr>
      <xdr:spPr bwMode="auto">
        <a:xfrm>
          <a:off x="1857375" y="11734800"/>
          <a:ext cx="7019925" cy="1752600"/>
        </a:xfrm>
        <a:prstGeom prst="rect">
          <a:avLst/>
        </a:prstGeom>
        <a:solidFill>
          <a:srgbClr val="CCFFFF"/>
        </a:solidFill>
        <a:ln w="9525">
          <a:miter lim="800000"/>
          <a:headEnd/>
          <a:tailEnd/>
        </a:ln>
        <a:effectLst/>
        <a:scene3d>
          <a:camera prst="legacyObliqueTopLeft"/>
          <a:lightRig rig="legacyFlat3" dir="t"/>
        </a:scene3d>
        <a:sp3d extrusionH="430200" prstMaterial="legacyMatte">
          <a:bevelT w="13500" h="13500" prst="angle"/>
          <a:bevelB w="13500" h="13500" prst="angle"/>
          <a:extrusionClr>
            <a:srgbClr val="CCFFFF"/>
          </a:extrusionClr>
        </a:sp3d>
        <a:ex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Note that the data is not normally distributed; it is a </a:t>
          </a:r>
          <a:r>
            <a:rPr lang="en-US" sz="1200" b="1" i="0" u="none" strike="noStrike" baseline="0">
              <a:solidFill>
                <a:srgbClr val="000000"/>
              </a:solidFill>
              <a:latin typeface="Arial"/>
              <a:cs typeface="Arial"/>
            </a:rPr>
            <a:t>skewed</a:t>
          </a:r>
          <a:r>
            <a:rPr lang="en-US" sz="1200" b="0" i="0" u="none" strike="noStrike" baseline="0">
              <a:solidFill>
                <a:srgbClr val="000000"/>
              </a:solidFill>
              <a:latin typeface="Arial"/>
              <a:cs typeface="Arial"/>
            </a:rPr>
            <a:t> distribution. As a result the standard deviation is large, relative to the mean. In situations were the distribution is quite skewed the mean and standard deviation are misleading parameters to describe the data, and it is better to use simply state the median (half of the observations are above the median and half are below) and the range (minimum &amp; maximum values). Note that in this case one mean is almost twice as large as the other, but the median values are the same. Consequently, it is not clear whether institution of the clinical pathway produced an improvement in hospital stay. With skewed data like this, a </a:t>
          </a:r>
          <a:r>
            <a:rPr lang="en-US" sz="1200" b="1" i="0" u="none" strike="noStrike" baseline="0">
              <a:solidFill>
                <a:srgbClr val="000000"/>
              </a:solidFill>
              <a:latin typeface="Arial"/>
              <a:cs typeface="Arial"/>
            </a:rPr>
            <a:t>common mistake</a:t>
          </a:r>
          <a:r>
            <a:rPr lang="en-US" sz="1200" b="0" i="0" u="none" strike="noStrike" baseline="0">
              <a:solidFill>
                <a:srgbClr val="000000"/>
              </a:solidFill>
              <a:latin typeface="Arial"/>
              <a:cs typeface="Arial"/>
            </a:rPr>
            <a:t> is to compare them using a t-test. This is </a:t>
          </a:r>
          <a:r>
            <a:rPr lang="en-US" sz="1200" b="1" i="0" u="none" strike="noStrike" baseline="0">
              <a:solidFill>
                <a:srgbClr val="000000"/>
              </a:solidFill>
              <a:latin typeface="Arial"/>
              <a:cs typeface="Arial"/>
            </a:rPr>
            <a:t>NOT</a:t>
          </a:r>
          <a:r>
            <a:rPr lang="en-US" sz="1200" b="0" i="0" u="none" strike="noStrike" baseline="0">
              <a:solidFill>
                <a:srgbClr val="000000"/>
              </a:solidFill>
              <a:latin typeface="Arial"/>
              <a:cs typeface="Arial"/>
            </a:rPr>
            <a:t> appropriate, because the validity of the t-test relies on the assumption that the data are normally distributed.</a:t>
          </a:r>
        </a:p>
      </xdr:txBody>
    </xdr:sp>
    <xdr:clientData/>
  </xdr:twoCellAnchor>
  <xdr:twoCellAnchor>
    <xdr:from>
      <xdr:col>6</xdr:col>
      <xdr:colOff>144780</xdr:colOff>
      <xdr:row>48</xdr:row>
      <xdr:rowOff>144780</xdr:rowOff>
    </xdr:from>
    <xdr:to>
      <xdr:col>13</xdr:col>
      <xdr:colOff>518160</xdr:colOff>
      <xdr:row>63</xdr:row>
      <xdr:rowOff>137160</xdr:rowOff>
    </xdr:to>
    <xdr:graphicFrame macro="">
      <xdr:nvGraphicFramePr>
        <xdr:cNvPr id="3362029"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411480</xdr:colOff>
      <xdr:row>12</xdr:row>
      <xdr:rowOff>0</xdr:rowOff>
    </xdr:from>
    <xdr:to>
      <xdr:col>10</xdr:col>
      <xdr:colOff>559465</xdr:colOff>
      <xdr:row>20</xdr:row>
      <xdr:rowOff>140373</xdr:rowOff>
    </xdr:to>
    <xdr:sp macro="" textlink="">
      <xdr:nvSpPr>
        <xdr:cNvPr id="3083" name="Text Box 11"/>
        <xdr:cNvSpPr txBox="1">
          <a:spLocks noChangeArrowheads="1"/>
        </xdr:cNvSpPr>
      </xdr:nvSpPr>
      <xdr:spPr bwMode="auto">
        <a:xfrm>
          <a:off x="1647825" y="2990850"/>
          <a:ext cx="5276850" cy="1447800"/>
        </a:xfrm>
        <a:prstGeom prst="rect">
          <a:avLst/>
        </a:prstGeom>
        <a:solidFill>
          <a:srgbClr val="FFFF99"/>
        </a:solidFill>
        <a:ln w="9525">
          <a:miter lim="800000"/>
          <a:headEnd/>
          <a:tailEnd/>
        </a:ln>
        <a:effectLst/>
        <a:scene3d>
          <a:camera prst="legacyObliqueTopLeft"/>
          <a:lightRig rig="legacyFlat3" dir="t"/>
        </a:scene3d>
        <a:sp3d extrusionH="430200" prstMaterial="legacyMatte">
          <a:bevelT w="13500" h="13500" prst="angle"/>
          <a:bevelB w="13500" h="13500" prst="angle"/>
          <a:extrusionClr>
            <a:srgbClr val="FFFF99"/>
          </a:extrusionClr>
        </a:sp3d>
        <a:extLst/>
      </xdr:spPr>
      <xdr:txBody>
        <a:bodyPr vertOverflow="clip" wrap="square" lIns="36576" tIns="22860" rIns="0" bIns="0" anchor="t" upright="1"/>
        <a:lstStyle/>
        <a:p>
          <a:pPr algn="l" rtl="0">
            <a:lnSpc>
              <a:spcPts val="1200"/>
            </a:lnSpc>
            <a:defRPr sz="1000"/>
          </a:pPr>
          <a:r>
            <a:rPr lang="en-US" sz="1200" b="0" i="0" u="none" strike="noStrike" baseline="0">
              <a:solidFill>
                <a:srgbClr val="000000"/>
              </a:solidFill>
              <a:latin typeface="Arial"/>
              <a:cs typeface="Arial"/>
            </a:rPr>
            <a:t>We can rapidly get a feel for what is going on here by creating a frequency histogram. The first step is to sort each of the data sets. Begin by selecting the "before" values of LOS. Then, from the top toolbar, click on "Data", "Sort" (if you get a warning about adjacent data, just indicate you want to continue with the current selection). Also, indicate that there is no "header" row and that you want to sort in ascending order. Repeat this procedure for the other data set.</a:t>
          </a:r>
        </a:p>
      </xdr:txBody>
    </xdr:sp>
    <xdr:clientData/>
  </xdr:twoCellAnchor>
  <xdr:twoCellAnchor>
    <xdr:from>
      <xdr:col>3</xdr:col>
      <xdr:colOff>172085</xdr:colOff>
      <xdr:row>42</xdr:row>
      <xdr:rowOff>44450</xdr:rowOff>
    </xdr:from>
    <xdr:to>
      <xdr:col>6</xdr:col>
      <xdr:colOff>559387</xdr:colOff>
      <xdr:row>45</xdr:row>
      <xdr:rowOff>205</xdr:rowOff>
    </xdr:to>
    <xdr:sp macro="" textlink="">
      <xdr:nvSpPr>
        <xdr:cNvPr id="3084" name="Text Box 12"/>
        <xdr:cNvSpPr txBox="1">
          <a:spLocks noChangeArrowheads="1"/>
        </xdr:cNvSpPr>
      </xdr:nvSpPr>
      <xdr:spPr bwMode="auto">
        <a:xfrm>
          <a:off x="1990725" y="7905750"/>
          <a:ext cx="2495550" cy="428625"/>
        </a:xfrm>
        <a:prstGeom prst="rect">
          <a:avLst/>
        </a:prstGeom>
        <a:solidFill>
          <a:srgbClr val="CCFFFF"/>
        </a:solidFill>
        <a:ln w="9525">
          <a:miter lim="800000"/>
          <a:headEnd/>
          <a:tailEnd/>
        </a:ln>
        <a:effectLst/>
        <a:scene3d>
          <a:camera prst="legacyObliqueTopLeft"/>
          <a:lightRig rig="legacyFlat3" dir="t"/>
        </a:scene3d>
        <a:sp3d extrusionH="430200" prstMaterial="legacyMatte">
          <a:bevelT w="13500" h="13500" prst="angle"/>
          <a:bevelB w="13500" h="13500" prst="angle"/>
          <a:extrusionClr>
            <a:srgbClr val="CCFFFF"/>
          </a:extrusionClr>
        </a:sp3d>
        <a:ex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And you can summarize it by counting the frequency of each LOS.</a:t>
          </a:r>
        </a:p>
      </xdr:txBody>
    </xdr:sp>
    <xdr:clientData/>
  </xdr:twoCellAnchor>
  <xdr:twoCellAnchor>
    <xdr:from>
      <xdr:col>7</xdr:col>
      <xdr:colOff>449580</xdr:colOff>
      <xdr:row>62</xdr:row>
      <xdr:rowOff>121920</xdr:rowOff>
    </xdr:from>
    <xdr:to>
      <xdr:col>7</xdr:col>
      <xdr:colOff>449580</xdr:colOff>
      <xdr:row>64</xdr:row>
      <xdr:rowOff>68580</xdr:rowOff>
    </xdr:to>
    <xdr:sp macro="" textlink="">
      <xdr:nvSpPr>
        <xdr:cNvPr id="3362032" name="Line 13"/>
        <xdr:cNvSpPr>
          <a:spLocks noChangeShapeType="1"/>
        </xdr:cNvSpPr>
      </xdr:nvSpPr>
      <xdr:spPr bwMode="auto">
        <a:xfrm flipV="1">
          <a:off x="4945380" y="11529060"/>
          <a:ext cx="0" cy="28194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388620</xdr:colOff>
      <xdr:row>55</xdr:row>
      <xdr:rowOff>68580</xdr:rowOff>
    </xdr:from>
    <xdr:to>
      <xdr:col>8</xdr:col>
      <xdr:colOff>388620</xdr:colOff>
      <xdr:row>57</xdr:row>
      <xdr:rowOff>30480</xdr:rowOff>
    </xdr:to>
    <xdr:sp macro="" textlink="">
      <xdr:nvSpPr>
        <xdr:cNvPr id="3362033" name="Line 14"/>
        <xdr:cNvSpPr>
          <a:spLocks noChangeShapeType="1"/>
        </xdr:cNvSpPr>
      </xdr:nvSpPr>
      <xdr:spPr bwMode="auto">
        <a:xfrm>
          <a:off x="5478780" y="10302240"/>
          <a:ext cx="0" cy="29718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411480</xdr:colOff>
      <xdr:row>55</xdr:row>
      <xdr:rowOff>68580</xdr:rowOff>
    </xdr:from>
    <xdr:to>
      <xdr:col>7</xdr:col>
      <xdr:colOff>411480</xdr:colOff>
      <xdr:row>57</xdr:row>
      <xdr:rowOff>45720</xdr:rowOff>
    </xdr:to>
    <xdr:sp macro="" textlink="">
      <xdr:nvSpPr>
        <xdr:cNvPr id="3362034" name="Line 15"/>
        <xdr:cNvSpPr>
          <a:spLocks noChangeShapeType="1"/>
        </xdr:cNvSpPr>
      </xdr:nvSpPr>
      <xdr:spPr bwMode="auto">
        <a:xfrm>
          <a:off x="4907280" y="10302240"/>
          <a:ext cx="0" cy="31242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7</xdr:col>
      <xdr:colOff>213995</xdr:colOff>
      <xdr:row>64</xdr:row>
      <xdr:rowOff>26670</xdr:rowOff>
    </xdr:from>
    <xdr:ext cx="460254" cy="170560"/>
    <xdr:sp macro="" textlink="">
      <xdr:nvSpPr>
        <xdr:cNvPr id="3088" name="Text Box 16"/>
        <xdr:cNvSpPr txBox="1">
          <a:spLocks noChangeArrowheads="1"/>
        </xdr:cNvSpPr>
      </xdr:nvSpPr>
      <xdr:spPr bwMode="auto">
        <a:xfrm>
          <a:off x="4709795" y="11769090"/>
          <a:ext cx="460254" cy="170560"/>
        </a:xfrm>
        <a:prstGeom prst="rect">
          <a:avLst/>
        </a:prstGeom>
        <a:noFill/>
        <a:ln>
          <a:noFill/>
        </a:ln>
        <a:extLst/>
      </xdr:spPr>
      <xdr:txBody>
        <a:bodyPr wrap="none" lIns="18288" tIns="22860" rIns="0" bIns="0" anchor="t" upright="1">
          <a:spAutoFit/>
        </a:bodyPr>
        <a:lstStyle/>
        <a:p>
          <a:pPr algn="l" rtl="0">
            <a:defRPr sz="1000"/>
          </a:pPr>
          <a:r>
            <a:rPr lang="en-US" sz="1000" b="1" i="0" u="none" strike="noStrike" baseline="0">
              <a:solidFill>
                <a:srgbClr val="000000"/>
              </a:solidFill>
              <a:latin typeface="Arial"/>
              <a:cs typeface="Arial"/>
            </a:rPr>
            <a:t>Median</a:t>
          </a:r>
        </a:p>
      </xdr:txBody>
    </xdr:sp>
    <xdr:clientData/>
  </xdr:oneCellAnchor>
  <xdr:oneCellAnchor>
    <xdr:from>
      <xdr:col>8</xdr:col>
      <xdr:colOff>75102</xdr:colOff>
      <xdr:row>53</xdr:row>
      <xdr:rowOff>71120</xdr:rowOff>
    </xdr:from>
    <xdr:ext cx="428835" cy="318036"/>
    <xdr:sp macro="" textlink="">
      <xdr:nvSpPr>
        <xdr:cNvPr id="3089" name="Text Box 17"/>
        <xdr:cNvSpPr txBox="1">
          <a:spLocks noChangeArrowheads="1"/>
        </xdr:cNvSpPr>
      </xdr:nvSpPr>
      <xdr:spPr bwMode="auto">
        <a:xfrm>
          <a:off x="5165262" y="9969500"/>
          <a:ext cx="428835" cy="318036"/>
        </a:xfrm>
        <a:prstGeom prst="rect">
          <a:avLst/>
        </a:prstGeom>
        <a:noFill/>
        <a:ln>
          <a:noFill/>
        </a:ln>
        <a:extLst/>
      </xdr:spPr>
      <xdr:txBody>
        <a:bodyPr wrap="none" lIns="18288" tIns="22860" rIns="18288" bIns="0" anchor="t" upright="1">
          <a:spAutoFit/>
        </a:bodyPr>
        <a:lstStyle/>
        <a:p>
          <a:pPr algn="ctr" rtl="0">
            <a:defRPr sz="1000"/>
          </a:pPr>
          <a:r>
            <a:rPr lang="en-US" sz="1000" b="1" i="0" u="none" strike="noStrike" baseline="0">
              <a:solidFill>
                <a:srgbClr val="000000"/>
              </a:solidFill>
              <a:latin typeface="Arial"/>
              <a:ea typeface="Arial"/>
              <a:cs typeface="Arial"/>
            </a:rPr>
            <a:t>Mean</a:t>
          </a:r>
        </a:p>
        <a:p>
          <a:pPr algn="ctr" rtl="0">
            <a:defRPr sz="1000"/>
          </a:pPr>
          <a:r>
            <a:rPr lang="en-US" sz="1000" b="1" i="0" u="none" strike="noStrike" baseline="0">
              <a:solidFill>
                <a:srgbClr val="000000"/>
              </a:solidFill>
              <a:latin typeface="Arial"/>
              <a:ea typeface="Arial"/>
              <a:cs typeface="Arial"/>
            </a:rPr>
            <a:t>before</a:t>
          </a:r>
        </a:p>
      </xdr:txBody>
    </xdr:sp>
    <xdr:clientData/>
  </xdr:oneCellAnchor>
  <xdr:oneCellAnchor>
    <xdr:from>
      <xdr:col>7</xdr:col>
      <xdr:colOff>213392</xdr:colOff>
      <xdr:row>53</xdr:row>
      <xdr:rowOff>45720</xdr:rowOff>
    </xdr:from>
    <xdr:ext cx="364716" cy="318036"/>
    <xdr:sp macro="" textlink="">
      <xdr:nvSpPr>
        <xdr:cNvPr id="3090" name="Text Box 18"/>
        <xdr:cNvSpPr txBox="1">
          <a:spLocks noChangeArrowheads="1"/>
        </xdr:cNvSpPr>
      </xdr:nvSpPr>
      <xdr:spPr bwMode="auto">
        <a:xfrm>
          <a:off x="4709192" y="9944100"/>
          <a:ext cx="364716" cy="318036"/>
        </a:xfrm>
        <a:prstGeom prst="rect">
          <a:avLst/>
        </a:prstGeom>
        <a:noFill/>
        <a:ln>
          <a:noFill/>
        </a:ln>
        <a:extLst/>
      </xdr:spPr>
      <xdr:txBody>
        <a:bodyPr wrap="none" lIns="18288" tIns="22860" rIns="18288" bIns="0" anchor="t" upright="1">
          <a:spAutoFit/>
        </a:bodyPr>
        <a:lstStyle/>
        <a:p>
          <a:pPr algn="ctr" rtl="0">
            <a:defRPr sz="1000"/>
          </a:pPr>
          <a:r>
            <a:rPr lang="en-US" sz="1000" b="1" i="0" u="none" strike="noStrike" baseline="0">
              <a:solidFill>
                <a:srgbClr val="000000"/>
              </a:solidFill>
              <a:latin typeface="Arial"/>
              <a:ea typeface="Arial"/>
              <a:cs typeface="Arial"/>
            </a:rPr>
            <a:t>Mean</a:t>
          </a:r>
        </a:p>
        <a:p>
          <a:pPr algn="ctr" rtl="0">
            <a:defRPr sz="1000"/>
          </a:pPr>
          <a:r>
            <a:rPr lang="en-US" sz="1000" b="1" i="0" u="none" strike="noStrike" baseline="0">
              <a:solidFill>
                <a:srgbClr val="000000"/>
              </a:solidFill>
              <a:latin typeface="Arial"/>
              <a:ea typeface="Arial"/>
              <a:cs typeface="Arial"/>
            </a:rPr>
            <a:t>after</a:t>
          </a:r>
        </a:p>
      </xdr:txBody>
    </xdr:sp>
    <xdr:clientData/>
  </xdr:oneCellAnchor>
  <xdr:twoCellAnchor>
    <xdr:from>
      <xdr:col>7</xdr:col>
      <xdr:colOff>411480</xdr:colOff>
      <xdr:row>54</xdr:row>
      <xdr:rowOff>137160</xdr:rowOff>
    </xdr:from>
    <xdr:to>
      <xdr:col>7</xdr:col>
      <xdr:colOff>548640</xdr:colOff>
      <xdr:row>55</xdr:row>
      <xdr:rowOff>99060</xdr:rowOff>
    </xdr:to>
    <xdr:sp macro="" textlink="">
      <xdr:nvSpPr>
        <xdr:cNvPr id="3362038" name="Freeform 19"/>
        <xdr:cNvSpPr>
          <a:spLocks/>
        </xdr:cNvSpPr>
      </xdr:nvSpPr>
      <xdr:spPr bwMode="auto">
        <a:xfrm>
          <a:off x="4907280" y="10203180"/>
          <a:ext cx="137160" cy="129540"/>
        </a:xfrm>
        <a:custGeom>
          <a:avLst/>
          <a:gdLst>
            <a:gd name="T0" fmla="*/ 2147483646 w 15"/>
            <a:gd name="T1" fmla="*/ 0 h 12"/>
            <a:gd name="T2" fmla="*/ 0 w 15"/>
            <a:gd name="T3" fmla="*/ 2147483646 h 12"/>
            <a:gd name="T4" fmla="*/ 0 60000 65536"/>
            <a:gd name="T5" fmla="*/ 0 60000 65536"/>
            <a:gd name="T6" fmla="*/ 0 w 15"/>
            <a:gd name="T7" fmla="*/ 0 h 12"/>
            <a:gd name="T8" fmla="*/ 15 w 15"/>
            <a:gd name="T9" fmla="*/ 12 h 12"/>
          </a:gdLst>
          <a:ahLst/>
          <a:cxnLst>
            <a:cxn ang="T4">
              <a:pos x="T0" y="T1"/>
            </a:cxn>
            <a:cxn ang="T5">
              <a:pos x="T2" y="T3"/>
            </a:cxn>
          </a:cxnLst>
          <a:rect l="T6" t="T7" r="T8" b="T9"/>
          <a:pathLst>
            <a:path w="15" h="12">
              <a:moveTo>
                <a:pt x="15" y="0"/>
              </a:moveTo>
              <a:cubicBezTo>
                <a:pt x="8" y="5"/>
                <a:pt x="2" y="11"/>
                <a:pt x="0" y="12"/>
              </a:cubicBezTo>
            </a:path>
          </a:pathLst>
        </a:custGeom>
        <a:noFill/>
        <a:ln w="38100" cmpd="sng">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40005</xdr:colOff>
      <xdr:row>0</xdr:row>
      <xdr:rowOff>9525</xdr:rowOff>
    </xdr:from>
    <xdr:to>
      <xdr:col>4</xdr:col>
      <xdr:colOff>73707</xdr:colOff>
      <xdr:row>0</xdr:row>
      <xdr:rowOff>371475</xdr:rowOff>
    </xdr:to>
    <xdr:sp macro="" textlink="">
      <xdr:nvSpPr>
        <xdr:cNvPr id="3094" name="Text Box 22"/>
        <xdr:cNvSpPr txBox="1">
          <a:spLocks noChangeArrowheads="1"/>
        </xdr:cNvSpPr>
      </xdr:nvSpPr>
      <xdr:spPr bwMode="auto">
        <a:xfrm>
          <a:off x="57150" y="9525"/>
          <a:ext cx="2438400" cy="361950"/>
        </a:xfrm>
        <a:prstGeom prst="rect">
          <a:avLst/>
        </a:prstGeom>
        <a:solidFill>
          <a:srgbClr val="FFFF99"/>
        </a:solidFill>
        <a:ln w="9525">
          <a:solidFill>
            <a:srgbClr val="000000"/>
          </a:solidFill>
          <a:miter lim="800000"/>
          <a:headEnd/>
          <a:tailEnd/>
        </a:ln>
      </xdr:spPr>
      <xdr:txBody>
        <a:bodyPr vertOverflow="clip" wrap="square" lIns="36576" tIns="27432" rIns="36576" bIns="27432" anchor="ctr" upright="1"/>
        <a:lstStyle/>
        <a:p>
          <a:pPr algn="ctr" rtl="0">
            <a:defRPr sz="1000"/>
          </a:pPr>
          <a:r>
            <a:rPr lang="en-US" sz="1400" b="1" i="0" u="none" strike="noStrike" baseline="0">
              <a:solidFill>
                <a:srgbClr val="008000"/>
              </a:solidFill>
              <a:latin typeface="Arial"/>
              <a:cs typeface="Arial"/>
            </a:rPr>
            <a:t>Skewed Distributions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447040</xdr:colOff>
      <xdr:row>0</xdr:row>
      <xdr:rowOff>104775</xdr:rowOff>
    </xdr:from>
    <xdr:to>
      <xdr:col>13</xdr:col>
      <xdr:colOff>267342</xdr:colOff>
      <xdr:row>0</xdr:row>
      <xdr:rowOff>447675</xdr:rowOff>
    </xdr:to>
    <xdr:sp macro="" textlink="">
      <xdr:nvSpPr>
        <xdr:cNvPr id="10241" name="Text Box 1025"/>
        <xdr:cNvSpPr txBox="1">
          <a:spLocks noChangeArrowheads="1"/>
        </xdr:cNvSpPr>
      </xdr:nvSpPr>
      <xdr:spPr bwMode="auto">
        <a:xfrm>
          <a:off x="3190875" y="104775"/>
          <a:ext cx="3857625" cy="342900"/>
        </a:xfrm>
        <a:prstGeom prst="rect">
          <a:avLst/>
        </a:prstGeom>
        <a:solidFill>
          <a:srgbClr val="FFFF99"/>
        </a:solidFill>
        <a:ln w="9525">
          <a:solidFill>
            <a:srgbClr val="000000"/>
          </a:solidFill>
          <a:miter lim="800000"/>
          <a:headEnd/>
          <a:tailEnd/>
        </a:ln>
      </xdr:spPr>
      <xdr:txBody>
        <a:bodyPr vertOverflow="clip" wrap="square" lIns="36576" tIns="27432" rIns="36576" bIns="27432" anchor="ctr" upright="1"/>
        <a:lstStyle/>
        <a:p>
          <a:pPr algn="ctr" rtl="0">
            <a:defRPr sz="1000"/>
          </a:pPr>
          <a:r>
            <a:rPr lang="en-US" sz="1400" b="1" i="0" u="none" strike="noStrike" baseline="0">
              <a:solidFill>
                <a:srgbClr val="000000"/>
              </a:solidFill>
              <a:latin typeface="Arial"/>
              <a:cs typeface="Arial"/>
            </a:rPr>
            <a:t>Confidence Intervals for a Single Prevalence or Cumulative Incidence</a:t>
          </a:r>
        </a:p>
      </xdr:txBody>
    </xdr:sp>
    <xdr:clientData/>
  </xdr:twoCellAnchor>
  <xdr:twoCellAnchor>
    <xdr:from>
      <xdr:col>4</xdr:col>
      <xdr:colOff>308610</xdr:colOff>
      <xdr:row>19</xdr:row>
      <xdr:rowOff>45720</xdr:rowOff>
    </xdr:from>
    <xdr:to>
      <xdr:col>13</xdr:col>
      <xdr:colOff>128912</xdr:colOff>
      <xdr:row>21</xdr:row>
      <xdr:rowOff>44882</xdr:rowOff>
    </xdr:to>
    <xdr:sp macro="" textlink="">
      <xdr:nvSpPr>
        <xdr:cNvPr id="3" name="Text Box 1025"/>
        <xdr:cNvSpPr txBox="1">
          <a:spLocks noChangeArrowheads="1"/>
        </xdr:cNvSpPr>
      </xdr:nvSpPr>
      <xdr:spPr bwMode="auto">
        <a:xfrm>
          <a:off x="3057525" y="4276725"/>
          <a:ext cx="6362700" cy="342900"/>
        </a:xfrm>
        <a:prstGeom prst="rect">
          <a:avLst/>
        </a:prstGeom>
        <a:solidFill>
          <a:srgbClr val="FFFF99"/>
        </a:solidFill>
        <a:ln w="9525">
          <a:solidFill>
            <a:srgbClr val="000000"/>
          </a:solidFill>
          <a:miter lim="800000"/>
          <a:headEnd/>
          <a:tailEnd/>
        </a:ln>
      </xdr:spPr>
      <xdr:txBody>
        <a:bodyPr vertOverflow="clip" wrap="square" lIns="36576" tIns="27432" rIns="36576" bIns="27432" anchor="ctr" upright="1"/>
        <a:lstStyle/>
        <a:p>
          <a:pPr algn="ctr" rtl="0">
            <a:defRPr sz="1000"/>
          </a:pPr>
          <a:r>
            <a:rPr lang="en-US" sz="1400" b="1" i="0" u="none" strike="noStrike" baseline="0">
              <a:solidFill>
                <a:srgbClr val="000000"/>
              </a:solidFill>
              <a:latin typeface="Arial"/>
              <a:cs typeface="Arial"/>
            </a:rPr>
            <a:t>Confidence Intervals for a Single Incidence Rate</a:t>
          </a:r>
        </a:p>
      </xdr:txBody>
    </xdr:sp>
    <xdr:clientData/>
  </xdr:twoCellAnchor>
  <xdr:twoCellAnchor>
    <xdr:from>
      <xdr:col>15</xdr:col>
      <xdr:colOff>30479</xdr:colOff>
      <xdr:row>7</xdr:row>
      <xdr:rowOff>123825</xdr:rowOff>
    </xdr:from>
    <xdr:to>
      <xdr:col>18</xdr:col>
      <xdr:colOff>450859</xdr:colOff>
      <xdr:row>12</xdr:row>
      <xdr:rowOff>71146</xdr:rowOff>
    </xdr:to>
    <xdr:sp macro="" textlink="">
      <xdr:nvSpPr>
        <xdr:cNvPr id="2" name="TextBox 1"/>
        <xdr:cNvSpPr txBox="1"/>
      </xdr:nvSpPr>
      <xdr:spPr>
        <a:xfrm>
          <a:off x="10306049" y="1771650"/>
          <a:ext cx="2305051" cy="762000"/>
        </a:xfrm>
        <a:prstGeom prst="rect">
          <a:avLst/>
        </a:prstGeom>
        <a:solidFill>
          <a:srgbClr val="00D66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endParaRPr lang="en-US" sz="1600" b="0" i="0" u="none" strike="noStrike" baseline="0">
            <a:solidFill>
              <a:srgbClr val="000000"/>
            </a:solidFill>
            <a:latin typeface="Calibri"/>
            <a:ea typeface="Calibri"/>
            <a:cs typeface="Calibri"/>
          </a:endParaRPr>
        </a:p>
        <a:p>
          <a:pPr algn="l" rtl="0">
            <a:defRPr sz="1000"/>
          </a:pPr>
          <a:r>
            <a:rPr lang="en-US" sz="1600" b="0" i="0" u="none" strike="noStrike" baseline="0">
              <a:solidFill>
                <a:srgbClr val="000000"/>
              </a:solidFill>
              <a:latin typeface="Calibri"/>
              <a:ea typeface="Calibri"/>
              <a:cs typeface="Calibri"/>
            </a:rPr>
            <a:t>Wilson's Approximation</a:t>
          </a:r>
        </a:p>
      </xdr:txBody>
    </xdr:sp>
    <xdr:clientData/>
  </xdr:twoCellAnchor>
  <xdr:twoCellAnchor>
    <xdr:from>
      <xdr:col>15</xdr:col>
      <xdr:colOff>33655</xdr:colOff>
      <xdr:row>23</xdr:row>
      <xdr:rowOff>137794</xdr:rowOff>
    </xdr:from>
    <xdr:to>
      <xdr:col>18</xdr:col>
      <xdr:colOff>441317</xdr:colOff>
      <xdr:row>28</xdr:row>
      <xdr:rowOff>137794</xdr:rowOff>
    </xdr:to>
    <xdr:sp macro="" textlink="">
      <xdr:nvSpPr>
        <xdr:cNvPr id="6" name="TextBox 5"/>
        <xdr:cNvSpPr txBox="1"/>
      </xdr:nvSpPr>
      <xdr:spPr>
        <a:xfrm>
          <a:off x="10296525" y="4381499"/>
          <a:ext cx="2305051" cy="809625"/>
        </a:xfrm>
        <a:prstGeom prst="rect">
          <a:avLst/>
        </a:prstGeom>
        <a:solidFill>
          <a:srgbClr val="00D66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endParaRPr lang="en-US" sz="1600" b="0" i="0" u="none" strike="noStrike" baseline="0">
            <a:solidFill>
              <a:srgbClr val="000000"/>
            </a:solidFill>
            <a:latin typeface="Calibri"/>
            <a:ea typeface="Calibri"/>
            <a:cs typeface="Calibri"/>
          </a:endParaRPr>
        </a:p>
        <a:p>
          <a:pPr algn="l" rtl="0">
            <a:defRPr sz="1000"/>
          </a:pPr>
          <a:r>
            <a:rPr lang="en-US" sz="1600" b="0" i="0" u="none" strike="noStrike" baseline="0">
              <a:solidFill>
                <a:srgbClr val="000000"/>
              </a:solidFill>
              <a:latin typeface="Calibri"/>
              <a:ea typeface="Calibri"/>
              <a:cs typeface="Calibri"/>
            </a:rPr>
            <a:t>(Byar's Approximation)</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223520</xdr:colOff>
      <xdr:row>20</xdr:row>
      <xdr:rowOff>140335</xdr:rowOff>
    </xdr:from>
    <xdr:to>
      <xdr:col>15</xdr:col>
      <xdr:colOff>412747</xdr:colOff>
      <xdr:row>40</xdr:row>
      <xdr:rowOff>34922</xdr:rowOff>
    </xdr:to>
    <xdr:sp macro="" textlink="">
      <xdr:nvSpPr>
        <xdr:cNvPr id="8193" name="Text Box 1"/>
        <xdr:cNvSpPr txBox="1">
          <a:spLocks noChangeArrowheads="1"/>
        </xdr:cNvSpPr>
      </xdr:nvSpPr>
      <xdr:spPr bwMode="auto">
        <a:xfrm>
          <a:off x="3495675" y="3714750"/>
          <a:ext cx="5934075" cy="3600450"/>
        </a:xfrm>
        <a:prstGeom prst="rect">
          <a:avLst/>
        </a:prstGeom>
        <a:solidFill>
          <a:srgbClr val="CCFFFF"/>
        </a:solidFill>
        <a:ln w="9525">
          <a:miter lim="800000"/>
          <a:headEnd/>
          <a:tailEnd/>
        </a:ln>
        <a:effectLst/>
        <a:scene3d>
          <a:camera prst="legacyObliqueTopLeft"/>
          <a:lightRig rig="legacyFlat3" dir="t"/>
        </a:scene3d>
        <a:sp3d extrusionH="430200" prstMaterial="legacyMatte">
          <a:bevelT w="13500" h="13500" prst="angle"/>
          <a:bevelB w="13500" h="13500" prst="angle"/>
          <a:extrusionClr>
            <a:srgbClr val="CCFFFF"/>
          </a:extrusionClr>
        </a:sp3d>
        <a:extLst/>
      </xdr:spPr>
      <xdr:txBody>
        <a:bodyPr vertOverflow="clip" wrap="square" lIns="36576" tIns="22860" rIns="0" bIns="0" anchor="t" upright="1"/>
        <a:lstStyle/>
        <a:p>
          <a:pPr algn="l" rtl="0">
            <a:defRPr sz="1000"/>
          </a:pPr>
          <a:endParaRPr lang="en-US" sz="1200" b="0" i="0" u="none" strike="noStrike" baseline="0">
            <a:solidFill>
              <a:srgbClr val="000000"/>
            </a:solidFill>
            <a:latin typeface="Arial"/>
            <a:ea typeface="Arial"/>
            <a:cs typeface="Arial"/>
          </a:endParaRPr>
        </a:p>
        <a:p>
          <a:pPr algn="l" rtl="0">
            <a:defRPr sz="1000"/>
          </a:pPr>
          <a:r>
            <a:rPr lang="en-US" sz="1400" b="1" i="0" u="none" strike="noStrike" baseline="0">
              <a:solidFill>
                <a:srgbClr val="000000"/>
              </a:solidFill>
              <a:latin typeface="Arial"/>
              <a:ea typeface="Arial"/>
              <a:cs typeface="Arial"/>
            </a:rPr>
            <a:t>However</a:t>
          </a:r>
          <a:r>
            <a:rPr lang="en-US" sz="1200" b="0" i="0" u="none" strike="noStrike" baseline="0">
              <a:solidFill>
                <a:srgbClr val="000000"/>
              </a:solidFill>
              <a:latin typeface="Arial"/>
              <a:ea typeface="Arial"/>
              <a:cs typeface="Arial"/>
            </a:rPr>
            <a:t>, suppose these were not two independent </a:t>
          </a:r>
        </a:p>
        <a:p>
          <a:pPr algn="l" rtl="0">
            <a:defRPr sz="1000"/>
          </a:pPr>
          <a:r>
            <a:rPr lang="en-US" sz="1200" b="0" i="0" u="none" strike="noStrike" baseline="0">
              <a:solidFill>
                <a:srgbClr val="000000"/>
              </a:solidFill>
              <a:latin typeface="Arial"/>
              <a:ea typeface="Arial"/>
              <a:cs typeface="Arial"/>
            </a:rPr>
            <a:t>groups of individuals, but a single group whose </a:t>
          </a:r>
        </a:p>
        <a:p>
          <a:pPr algn="l" rtl="0">
            <a:defRPr sz="1000"/>
          </a:pPr>
          <a:r>
            <a:rPr lang="en-US" sz="1200" b="0" i="0" u="none" strike="noStrike" baseline="0">
              <a:solidFill>
                <a:srgbClr val="000000"/>
              </a:solidFill>
              <a:latin typeface="Arial"/>
              <a:ea typeface="Arial"/>
              <a:cs typeface="Arial"/>
            </a:rPr>
            <a:t>BMIs were measured before and after the 4 month </a:t>
          </a:r>
        </a:p>
        <a:p>
          <a:pPr algn="l" rtl="0">
            <a:defRPr sz="1000"/>
          </a:pPr>
          <a:r>
            <a:rPr lang="en-US" sz="1200" b="0" i="0" u="none" strike="noStrike" baseline="0">
              <a:solidFill>
                <a:srgbClr val="000000"/>
              </a:solidFill>
              <a:latin typeface="Arial"/>
              <a:ea typeface="Arial"/>
              <a:cs typeface="Arial"/>
            </a:rPr>
            <a:t>treatment. In other words, the data were "paired" in </a:t>
          </a:r>
        </a:p>
        <a:p>
          <a:pPr algn="l" rtl="0">
            <a:defRPr sz="1000"/>
          </a:pPr>
          <a:r>
            <a:rPr lang="en-US" sz="1200" b="0" i="0" u="none" strike="noStrike" baseline="0">
              <a:solidFill>
                <a:srgbClr val="000000"/>
              </a:solidFill>
              <a:latin typeface="Arial"/>
              <a:ea typeface="Arial"/>
              <a:cs typeface="Arial"/>
            </a:rPr>
            <a:t>the sense that each person acted as their own </a:t>
          </a:r>
        </a:p>
        <a:p>
          <a:pPr algn="l" rtl="0">
            <a:defRPr sz="1000"/>
          </a:pPr>
          <a:r>
            <a:rPr lang="en-US" sz="1200" b="0" i="0" u="none" strike="noStrike" baseline="0">
              <a:solidFill>
                <a:srgbClr val="000000"/>
              </a:solidFill>
              <a:latin typeface="Arial"/>
              <a:ea typeface="Arial"/>
              <a:cs typeface="Arial"/>
            </a:rPr>
            <a:t>control. Much of the "variability" that we are dealing </a:t>
          </a:r>
        </a:p>
        <a:p>
          <a:pPr algn="l" rtl="0">
            <a:lnSpc>
              <a:spcPts val="1300"/>
            </a:lnSpc>
            <a:defRPr sz="1000"/>
          </a:pPr>
          <a:r>
            <a:rPr lang="en-US" sz="1200" b="0" i="0" u="none" strike="noStrike" baseline="0">
              <a:solidFill>
                <a:srgbClr val="000000"/>
              </a:solidFill>
              <a:latin typeface="Arial"/>
              <a:ea typeface="Arial"/>
              <a:cs typeface="Arial"/>
            </a:rPr>
            <a:t>with in the setting of two independent groups is due</a:t>
          </a:r>
        </a:p>
        <a:p>
          <a:pPr algn="l" rtl="0">
            <a:defRPr sz="1000"/>
          </a:pPr>
          <a:r>
            <a:rPr lang="en-US" sz="1200" b="0" i="0" u="none" strike="noStrike" baseline="0">
              <a:solidFill>
                <a:srgbClr val="000000"/>
              </a:solidFill>
              <a:latin typeface="Arial"/>
              <a:ea typeface="Arial"/>
              <a:cs typeface="Arial"/>
            </a:rPr>
            <a:t> to the fact that there is substantial person-to-person </a:t>
          </a:r>
        </a:p>
        <a:p>
          <a:pPr algn="l" rtl="0">
            <a:defRPr sz="1000"/>
          </a:pPr>
          <a:r>
            <a:rPr lang="en-US" sz="1200" b="0" i="0" u="none" strike="noStrike" baseline="0">
              <a:solidFill>
                <a:srgbClr val="000000"/>
              </a:solidFill>
              <a:latin typeface="Arial"/>
              <a:ea typeface="Arial"/>
              <a:cs typeface="Arial"/>
            </a:rPr>
            <a:t>variability to begin with. However, what we are really </a:t>
          </a:r>
        </a:p>
        <a:p>
          <a:pPr algn="l" rtl="0">
            <a:lnSpc>
              <a:spcPts val="1300"/>
            </a:lnSpc>
            <a:defRPr sz="1000"/>
          </a:pPr>
          <a:r>
            <a:rPr lang="en-US" sz="1200" b="0" i="0" u="none" strike="noStrike" baseline="0">
              <a:solidFill>
                <a:srgbClr val="000000"/>
              </a:solidFill>
              <a:latin typeface="Arial"/>
              <a:ea typeface="Arial"/>
              <a:cs typeface="Arial"/>
            </a:rPr>
            <a:t>interested in is the response to treatment.</a:t>
          </a:r>
        </a:p>
        <a:p>
          <a:pPr algn="l" rtl="0">
            <a:defRPr sz="1000"/>
          </a:pPr>
          <a:endParaRPr lang="en-US" sz="1200" b="0" i="0" u="none" strike="noStrike" baseline="0">
            <a:solidFill>
              <a:srgbClr val="000000"/>
            </a:solidFill>
            <a:latin typeface="Arial"/>
            <a:ea typeface="Arial"/>
            <a:cs typeface="Arial"/>
          </a:endParaRPr>
        </a:p>
        <a:p>
          <a:pPr algn="l" rtl="0">
            <a:lnSpc>
              <a:spcPts val="1300"/>
            </a:lnSpc>
            <a:defRPr sz="1000"/>
          </a:pPr>
          <a:r>
            <a:rPr lang="en-US" sz="1200" b="0" i="0" u="none" strike="noStrike" baseline="0">
              <a:solidFill>
                <a:srgbClr val="000000"/>
              </a:solidFill>
              <a:latin typeface="Arial"/>
              <a:ea typeface="Arial"/>
              <a:cs typeface="Arial"/>
            </a:rPr>
            <a:t>In this case, it looks like just about all subjects reduced their BMI somewhat, and if you factor out the person-to-person differences, it looks like the treatment regimen had an effect.</a:t>
          </a:r>
        </a:p>
        <a:p>
          <a:pPr algn="l" rtl="0">
            <a:defRPr sz="1000"/>
          </a:pPr>
          <a:endParaRPr lang="en-US" sz="1200" b="0" i="0" u="none" strike="noStrike" baseline="0">
            <a:solidFill>
              <a:srgbClr val="000000"/>
            </a:solidFill>
            <a:latin typeface="Arial"/>
            <a:ea typeface="Arial"/>
            <a:cs typeface="Arial"/>
          </a:endParaRPr>
        </a:p>
        <a:p>
          <a:pPr algn="l" rtl="0">
            <a:defRPr sz="1000"/>
          </a:pPr>
          <a:r>
            <a:rPr lang="en-US" sz="1200" b="0" i="0" u="none" strike="noStrike" baseline="0">
              <a:solidFill>
                <a:srgbClr val="000000"/>
              </a:solidFill>
              <a:latin typeface="Arial"/>
              <a:ea typeface="Arial"/>
              <a:cs typeface="Arial"/>
            </a:rPr>
            <a:t> In the unpaired t-test the null hypothesis is that the means are the same, but</a:t>
          </a:r>
          <a:r>
            <a:rPr lang="en-US" sz="1200" b="1" i="0" u="none" strike="noStrike" baseline="0">
              <a:solidFill>
                <a:srgbClr val="000000"/>
              </a:solidFill>
              <a:latin typeface="Arial"/>
              <a:ea typeface="Arial"/>
              <a:cs typeface="Arial"/>
            </a:rPr>
            <a:t> in a paired t-test the null hypothesis is that the mean difference between the pairs is zero</a:t>
          </a:r>
          <a:r>
            <a:rPr lang="en-US" sz="1200" b="0" i="0" u="none" strike="noStrike" baseline="0">
              <a:solidFill>
                <a:srgbClr val="000000"/>
              </a:solidFill>
              <a:latin typeface="Arial"/>
              <a:ea typeface="Arial"/>
              <a:cs typeface="Arial"/>
            </a:rPr>
            <a:t>.</a:t>
          </a:r>
        </a:p>
        <a:p>
          <a:pPr algn="l" rtl="0">
            <a:lnSpc>
              <a:spcPts val="1300"/>
            </a:lnSpc>
            <a:defRPr sz="1000"/>
          </a:pPr>
          <a:endParaRPr lang="en-US" sz="1200" b="0" i="0" u="none" strike="noStrike" baseline="0">
            <a:solidFill>
              <a:srgbClr val="000000"/>
            </a:solidFill>
            <a:latin typeface="Arial"/>
            <a:ea typeface="Arial"/>
            <a:cs typeface="Arial"/>
          </a:endParaRPr>
        </a:p>
      </xdr:txBody>
    </xdr:sp>
    <xdr:clientData/>
  </xdr:twoCellAnchor>
  <xdr:twoCellAnchor>
    <xdr:from>
      <xdr:col>0</xdr:col>
      <xdr:colOff>102235</xdr:colOff>
      <xdr:row>0</xdr:row>
      <xdr:rowOff>76200</xdr:rowOff>
    </xdr:from>
    <xdr:to>
      <xdr:col>3</xdr:col>
      <xdr:colOff>159480</xdr:colOff>
      <xdr:row>0</xdr:row>
      <xdr:rowOff>381000</xdr:rowOff>
    </xdr:to>
    <xdr:sp macro="" textlink="">
      <xdr:nvSpPr>
        <xdr:cNvPr id="8195" name="Text Box 3"/>
        <xdr:cNvSpPr txBox="1">
          <a:spLocks noChangeArrowheads="1"/>
        </xdr:cNvSpPr>
      </xdr:nvSpPr>
      <xdr:spPr bwMode="auto">
        <a:xfrm>
          <a:off x="104775" y="76200"/>
          <a:ext cx="1895475" cy="304800"/>
        </a:xfrm>
        <a:prstGeom prst="rect">
          <a:avLst/>
        </a:prstGeom>
        <a:solidFill>
          <a:srgbClr val="FFFF99"/>
        </a:solidFill>
        <a:ln w="9525">
          <a:solidFill>
            <a:srgbClr val="000000"/>
          </a:solidFill>
          <a:miter lim="800000"/>
          <a:headEnd/>
          <a:tailEnd/>
        </a:ln>
      </xdr:spPr>
      <xdr:txBody>
        <a:bodyPr vertOverflow="clip" wrap="square" lIns="36576" tIns="27432" rIns="36576" bIns="27432" anchor="ctr" upright="1"/>
        <a:lstStyle/>
        <a:p>
          <a:pPr algn="ctr" rtl="0">
            <a:defRPr sz="1000"/>
          </a:pPr>
          <a:r>
            <a:rPr lang="en-US" sz="1400" b="0" i="0" u="none" strike="noStrike" baseline="0">
              <a:solidFill>
                <a:srgbClr val="008000"/>
              </a:solidFill>
              <a:latin typeface="Arial"/>
              <a:cs typeface="Arial"/>
            </a:rPr>
            <a:t>T-Tests</a:t>
          </a:r>
        </a:p>
      </xdr:txBody>
    </xdr:sp>
    <xdr:clientData/>
  </xdr:twoCellAnchor>
  <xdr:twoCellAnchor>
    <xdr:from>
      <xdr:col>4</xdr:col>
      <xdr:colOff>320040</xdr:colOff>
      <xdr:row>2</xdr:row>
      <xdr:rowOff>26670</xdr:rowOff>
    </xdr:from>
    <xdr:to>
      <xdr:col>16</xdr:col>
      <xdr:colOff>371479</xdr:colOff>
      <xdr:row>18</xdr:row>
      <xdr:rowOff>71088</xdr:rowOff>
    </xdr:to>
    <xdr:sp macro="" textlink="">
      <xdr:nvSpPr>
        <xdr:cNvPr id="8196" name="Text Box 4"/>
        <xdr:cNvSpPr txBox="1">
          <a:spLocks noChangeArrowheads="1"/>
        </xdr:cNvSpPr>
      </xdr:nvSpPr>
      <xdr:spPr bwMode="auto">
        <a:xfrm>
          <a:off x="2905125" y="666750"/>
          <a:ext cx="7105650" cy="2647950"/>
        </a:xfrm>
        <a:prstGeom prst="rect">
          <a:avLst/>
        </a:prstGeom>
        <a:solidFill>
          <a:srgbClr val="CCFFFF"/>
        </a:solidFill>
        <a:ln w="9525">
          <a:miter lim="800000"/>
          <a:headEnd/>
          <a:tailEnd/>
        </a:ln>
        <a:effectLst/>
        <a:scene3d>
          <a:camera prst="legacyObliqueTopLeft"/>
          <a:lightRig rig="legacyFlat3" dir="t"/>
        </a:scene3d>
        <a:sp3d extrusionH="430200" prstMaterial="legacyMatte">
          <a:bevelT w="13500" h="13500" prst="angle"/>
          <a:bevelB w="13500" h="13500" prst="angle"/>
          <a:extrusionClr>
            <a:srgbClr val="CCFFFF"/>
          </a:extrusionClr>
        </a:sp3d>
        <a:ex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ea typeface="Arial"/>
              <a:cs typeface="Arial"/>
            </a:rPr>
            <a:t>Consider the values of body mass index for the two groups to the left; group1 was untreated &amp; group 2 represents values in a group that was treated with a regimen of diet and exercise for 4 months. There is variability from person to person. Values range from 22-34, and there is considerable overlap between the two groups.</a:t>
          </a:r>
        </a:p>
        <a:p>
          <a:pPr algn="l" rtl="0">
            <a:defRPr sz="1000"/>
          </a:pPr>
          <a:endParaRPr lang="en-US" sz="1200" b="0" i="0" u="none" strike="noStrike" baseline="0">
            <a:solidFill>
              <a:srgbClr val="000000"/>
            </a:solidFill>
            <a:latin typeface="Arial"/>
            <a:ea typeface="Arial"/>
            <a:cs typeface="Arial"/>
          </a:endParaRPr>
        </a:p>
        <a:p>
          <a:pPr algn="l" rtl="0">
            <a:defRPr sz="1000"/>
          </a:pPr>
          <a:r>
            <a:rPr lang="en-US" sz="1200" b="0" i="0" u="none" strike="noStrike" baseline="0">
              <a:solidFill>
                <a:srgbClr val="000000"/>
              </a:solidFill>
              <a:latin typeface="Arial"/>
              <a:ea typeface="Arial"/>
              <a:cs typeface="Arial"/>
            </a:rPr>
            <a:t>Not suprisingly, when I perform an </a:t>
          </a:r>
        </a:p>
        <a:p>
          <a:pPr algn="l" rtl="0">
            <a:defRPr sz="1000"/>
          </a:pPr>
          <a:r>
            <a:rPr lang="en-US" sz="1200" b="0" i="0" u="none" strike="noStrike" baseline="0">
              <a:solidFill>
                <a:srgbClr val="000000"/>
              </a:solidFill>
              <a:latin typeface="Arial"/>
              <a:ea typeface="Arial"/>
              <a:cs typeface="Arial"/>
            </a:rPr>
            <a:t>unpaired t-test on these data, the</a:t>
          </a:r>
        </a:p>
        <a:p>
          <a:pPr algn="l" rtl="0">
            <a:defRPr sz="1000"/>
          </a:pPr>
          <a:r>
            <a:rPr lang="en-US" sz="1200" b="0" i="0" u="none" strike="noStrike" baseline="0">
              <a:solidFill>
                <a:srgbClr val="000000"/>
              </a:solidFill>
              <a:latin typeface="Arial"/>
              <a:ea typeface="Arial"/>
              <a:cs typeface="Arial"/>
            </a:rPr>
            <a:t> differences are not statistically </a:t>
          </a:r>
        </a:p>
        <a:p>
          <a:pPr algn="l" rtl="0">
            <a:defRPr sz="1000"/>
          </a:pPr>
          <a:r>
            <a:rPr lang="en-US" sz="1200" b="0" i="0" u="none" strike="noStrike" baseline="0">
              <a:solidFill>
                <a:srgbClr val="000000"/>
              </a:solidFill>
              <a:latin typeface="Arial"/>
              <a:ea typeface="Arial"/>
              <a:cs typeface="Arial"/>
            </a:rPr>
            <a:t>significant (p=0.18).</a:t>
          </a:r>
        </a:p>
        <a:p>
          <a:pPr algn="l" rtl="0">
            <a:defRPr sz="1000"/>
          </a:pPr>
          <a:endParaRPr lang="en-US" sz="1200" b="0" i="0" u="none" strike="noStrike" baseline="0">
            <a:solidFill>
              <a:srgbClr val="000000"/>
            </a:solidFill>
            <a:latin typeface="Arial"/>
            <a:ea typeface="Arial"/>
            <a:cs typeface="Arial"/>
          </a:endParaRPr>
        </a:p>
        <a:p>
          <a:pPr algn="l" rtl="0">
            <a:defRPr sz="1000"/>
          </a:pPr>
          <a:endParaRPr lang="en-US" sz="1200" b="0" i="0" u="none" strike="noStrike" baseline="0">
            <a:solidFill>
              <a:srgbClr val="000000"/>
            </a:solidFill>
            <a:latin typeface="Arial"/>
            <a:ea typeface="Arial"/>
            <a:cs typeface="Arial"/>
          </a:endParaRPr>
        </a:p>
        <a:p>
          <a:pPr algn="l" rtl="0">
            <a:defRPr sz="1000"/>
          </a:pPr>
          <a:endParaRPr lang="en-US" sz="1200" b="0" i="0" u="none" strike="noStrike" baseline="0">
            <a:solidFill>
              <a:srgbClr val="000000"/>
            </a:solidFill>
            <a:latin typeface="Arial"/>
            <a:ea typeface="Arial"/>
            <a:cs typeface="Arial"/>
          </a:endParaRPr>
        </a:p>
        <a:p>
          <a:pPr algn="l" rtl="0">
            <a:defRPr sz="1000"/>
          </a:pPr>
          <a:endParaRPr lang="en-US" sz="1200" b="0" i="0" u="none" strike="noStrike" baseline="0">
            <a:solidFill>
              <a:srgbClr val="000000"/>
            </a:solidFill>
            <a:latin typeface="Arial"/>
            <a:ea typeface="Arial"/>
            <a:cs typeface="Arial"/>
          </a:endParaRPr>
        </a:p>
        <a:p>
          <a:pPr algn="l" rtl="0">
            <a:defRPr sz="1000"/>
          </a:pPr>
          <a:endParaRPr lang="en-US" sz="1200" b="0" i="0" u="none" strike="noStrike" baseline="0">
            <a:solidFill>
              <a:srgbClr val="000000"/>
            </a:solidFill>
            <a:latin typeface="Arial"/>
            <a:ea typeface="Arial"/>
            <a:cs typeface="Arial"/>
          </a:endParaRPr>
        </a:p>
        <a:p>
          <a:pPr algn="l" rtl="0">
            <a:defRPr sz="1000"/>
          </a:pPr>
          <a:endParaRPr lang="en-US" sz="1200" b="0" i="0" u="none" strike="noStrike" baseline="0">
            <a:solidFill>
              <a:srgbClr val="000000"/>
            </a:solidFill>
            <a:latin typeface="Arial"/>
            <a:ea typeface="Arial"/>
            <a:cs typeface="Arial"/>
          </a:endParaRPr>
        </a:p>
      </xdr:txBody>
    </xdr:sp>
    <xdr:clientData/>
  </xdr:twoCellAnchor>
  <xdr:twoCellAnchor>
    <xdr:from>
      <xdr:col>8</xdr:col>
      <xdr:colOff>426720</xdr:colOff>
      <xdr:row>6</xdr:row>
      <xdr:rowOff>0</xdr:rowOff>
    </xdr:from>
    <xdr:to>
      <xdr:col>12</xdr:col>
      <xdr:colOff>510540</xdr:colOff>
      <xdr:row>18</xdr:row>
      <xdr:rowOff>0</xdr:rowOff>
    </xdr:to>
    <xdr:grpSp>
      <xdr:nvGrpSpPr>
        <xdr:cNvPr id="3469089" name="Group 24"/>
        <xdr:cNvGrpSpPr>
          <a:grpSpLocks/>
        </xdr:cNvGrpSpPr>
      </xdr:nvGrpSpPr>
      <xdr:grpSpPr bwMode="auto">
        <a:xfrm>
          <a:off x="5463540" y="1310640"/>
          <a:ext cx="2430780" cy="2011680"/>
          <a:chOff x="344" y="110"/>
          <a:chExt cx="294" cy="253"/>
        </a:xfrm>
      </xdr:grpSpPr>
      <xdr:graphicFrame macro="">
        <xdr:nvGraphicFramePr>
          <xdr:cNvPr id="3469144" name="Chart 6"/>
          <xdr:cNvGraphicFramePr>
            <a:graphicFrameLocks/>
          </xdr:cNvGraphicFramePr>
        </xdr:nvGraphicFramePr>
        <xdr:xfrm>
          <a:off x="344" y="110"/>
          <a:ext cx="294" cy="253"/>
        </xdr:xfrm>
        <a:graphic>
          <a:graphicData uri="http://schemas.openxmlformats.org/drawingml/2006/chart">
            <c:chart xmlns:c="http://schemas.openxmlformats.org/drawingml/2006/chart" xmlns:r="http://schemas.openxmlformats.org/officeDocument/2006/relationships" r:id="rId1"/>
          </a:graphicData>
        </a:graphic>
      </xdr:graphicFrame>
      <xdr:grpSp>
        <xdr:nvGrpSpPr>
          <xdr:cNvPr id="3469145" name="Group 23"/>
          <xdr:cNvGrpSpPr>
            <a:grpSpLocks/>
          </xdr:cNvGrpSpPr>
        </xdr:nvGrpSpPr>
        <xdr:grpSpPr bwMode="auto">
          <a:xfrm>
            <a:off x="545" y="168"/>
            <a:ext cx="6" cy="135"/>
            <a:chOff x="716" y="165"/>
            <a:chExt cx="6" cy="135"/>
          </a:xfrm>
        </xdr:grpSpPr>
        <xdr:sp macro="" textlink="">
          <xdr:nvSpPr>
            <xdr:cNvPr id="3469146" name="Freeform 9"/>
            <xdr:cNvSpPr>
              <a:spLocks/>
            </xdr:cNvSpPr>
          </xdr:nvSpPr>
          <xdr:spPr bwMode="auto">
            <a:xfrm>
              <a:off x="716" y="284"/>
              <a:ext cx="6" cy="6"/>
            </a:xfrm>
            <a:custGeom>
              <a:avLst/>
              <a:gdLst>
                <a:gd name="T0" fmla="*/ 0 w 36"/>
                <a:gd name="T1" fmla="*/ 0 h 36"/>
                <a:gd name="T2" fmla="*/ 0 w 36"/>
                <a:gd name="T3" fmla="*/ 0 h 36"/>
                <a:gd name="T4" fmla="*/ 0 w 36"/>
                <a:gd name="T5" fmla="*/ 0 h 36"/>
                <a:gd name="T6" fmla="*/ 0 w 36"/>
                <a:gd name="T7" fmla="*/ 0 h 36"/>
                <a:gd name="T8" fmla="*/ 0 w 36"/>
                <a:gd name="T9" fmla="*/ 0 h 36"/>
                <a:gd name="T10" fmla="*/ 0 60000 65536"/>
                <a:gd name="T11" fmla="*/ 0 60000 65536"/>
                <a:gd name="T12" fmla="*/ 0 60000 65536"/>
                <a:gd name="T13" fmla="*/ 0 60000 65536"/>
                <a:gd name="T14" fmla="*/ 0 60000 65536"/>
                <a:gd name="T15" fmla="*/ 0 w 36"/>
                <a:gd name="T16" fmla="*/ 0 h 36"/>
                <a:gd name="T17" fmla="*/ 36 w 36"/>
                <a:gd name="T18" fmla="*/ 36 h 36"/>
              </a:gdLst>
              <a:ahLst/>
              <a:cxnLst>
                <a:cxn ang="T10">
                  <a:pos x="T0" y="T1"/>
                </a:cxn>
                <a:cxn ang="T11">
                  <a:pos x="T2" y="T3"/>
                </a:cxn>
                <a:cxn ang="T12">
                  <a:pos x="T4" y="T5"/>
                </a:cxn>
                <a:cxn ang="T13">
                  <a:pos x="T6" y="T7"/>
                </a:cxn>
                <a:cxn ang="T14">
                  <a:pos x="T8" y="T9"/>
                </a:cxn>
              </a:cxnLst>
              <a:rect l="T15" t="T16" r="T17" b="T18"/>
              <a:pathLst>
                <a:path w="36" h="36">
                  <a:moveTo>
                    <a:pt x="18" y="0"/>
                  </a:moveTo>
                  <a:lnTo>
                    <a:pt x="36" y="18"/>
                  </a:lnTo>
                  <a:lnTo>
                    <a:pt x="18" y="36"/>
                  </a:lnTo>
                  <a:lnTo>
                    <a:pt x="0" y="18"/>
                  </a:lnTo>
                  <a:lnTo>
                    <a:pt x="18" y="0"/>
                  </a:lnTo>
                  <a:close/>
                </a:path>
              </a:pathLst>
            </a:custGeom>
            <a:solidFill>
              <a:srgbClr val="000080"/>
            </a:solidFill>
            <a:ln w="9525">
              <a:solidFill>
                <a:srgbClr val="000080"/>
              </a:solidFill>
              <a:prstDash val="solid"/>
              <a:round/>
              <a:headEnd/>
              <a:tailEnd/>
            </a:ln>
          </xdr:spPr>
        </xdr:sp>
        <xdr:sp macro="" textlink="">
          <xdr:nvSpPr>
            <xdr:cNvPr id="3469147" name="Freeform 10"/>
            <xdr:cNvSpPr>
              <a:spLocks/>
            </xdr:cNvSpPr>
          </xdr:nvSpPr>
          <xdr:spPr bwMode="auto">
            <a:xfrm>
              <a:off x="716" y="251"/>
              <a:ext cx="6" cy="6"/>
            </a:xfrm>
            <a:custGeom>
              <a:avLst/>
              <a:gdLst>
                <a:gd name="T0" fmla="*/ 0 w 36"/>
                <a:gd name="T1" fmla="*/ 0 h 36"/>
                <a:gd name="T2" fmla="*/ 0 w 36"/>
                <a:gd name="T3" fmla="*/ 0 h 36"/>
                <a:gd name="T4" fmla="*/ 0 w 36"/>
                <a:gd name="T5" fmla="*/ 0 h 36"/>
                <a:gd name="T6" fmla="*/ 0 w 36"/>
                <a:gd name="T7" fmla="*/ 0 h 36"/>
                <a:gd name="T8" fmla="*/ 0 w 36"/>
                <a:gd name="T9" fmla="*/ 0 h 36"/>
                <a:gd name="T10" fmla="*/ 0 60000 65536"/>
                <a:gd name="T11" fmla="*/ 0 60000 65536"/>
                <a:gd name="T12" fmla="*/ 0 60000 65536"/>
                <a:gd name="T13" fmla="*/ 0 60000 65536"/>
                <a:gd name="T14" fmla="*/ 0 60000 65536"/>
                <a:gd name="T15" fmla="*/ 0 w 36"/>
                <a:gd name="T16" fmla="*/ 0 h 36"/>
                <a:gd name="T17" fmla="*/ 36 w 36"/>
                <a:gd name="T18" fmla="*/ 36 h 36"/>
              </a:gdLst>
              <a:ahLst/>
              <a:cxnLst>
                <a:cxn ang="T10">
                  <a:pos x="T0" y="T1"/>
                </a:cxn>
                <a:cxn ang="T11">
                  <a:pos x="T2" y="T3"/>
                </a:cxn>
                <a:cxn ang="T12">
                  <a:pos x="T4" y="T5"/>
                </a:cxn>
                <a:cxn ang="T13">
                  <a:pos x="T6" y="T7"/>
                </a:cxn>
                <a:cxn ang="T14">
                  <a:pos x="T8" y="T9"/>
                </a:cxn>
              </a:cxnLst>
              <a:rect l="T15" t="T16" r="T17" b="T18"/>
              <a:pathLst>
                <a:path w="36" h="36">
                  <a:moveTo>
                    <a:pt x="18" y="0"/>
                  </a:moveTo>
                  <a:lnTo>
                    <a:pt x="36" y="18"/>
                  </a:lnTo>
                  <a:lnTo>
                    <a:pt x="18" y="36"/>
                  </a:lnTo>
                  <a:lnTo>
                    <a:pt x="0" y="18"/>
                  </a:lnTo>
                  <a:lnTo>
                    <a:pt x="18" y="0"/>
                  </a:lnTo>
                  <a:close/>
                </a:path>
              </a:pathLst>
            </a:custGeom>
            <a:solidFill>
              <a:srgbClr val="000080"/>
            </a:solidFill>
            <a:ln w="9525">
              <a:solidFill>
                <a:srgbClr val="000080"/>
              </a:solidFill>
              <a:prstDash val="solid"/>
              <a:round/>
              <a:headEnd/>
              <a:tailEnd/>
            </a:ln>
          </xdr:spPr>
        </xdr:sp>
        <xdr:sp macro="" textlink="">
          <xdr:nvSpPr>
            <xdr:cNvPr id="3469148" name="Freeform 11"/>
            <xdr:cNvSpPr>
              <a:spLocks/>
            </xdr:cNvSpPr>
          </xdr:nvSpPr>
          <xdr:spPr bwMode="auto">
            <a:xfrm>
              <a:off x="716" y="273"/>
              <a:ext cx="6" cy="6"/>
            </a:xfrm>
            <a:custGeom>
              <a:avLst/>
              <a:gdLst>
                <a:gd name="T0" fmla="*/ 0 w 36"/>
                <a:gd name="T1" fmla="*/ 0 h 36"/>
                <a:gd name="T2" fmla="*/ 0 w 36"/>
                <a:gd name="T3" fmla="*/ 0 h 36"/>
                <a:gd name="T4" fmla="*/ 0 w 36"/>
                <a:gd name="T5" fmla="*/ 0 h 36"/>
                <a:gd name="T6" fmla="*/ 0 w 36"/>
                <a:gd name="T7" fmla="*/ 0 h 36"/>
                <a:gd name="T8" fmla="*/ 0 w 36"/>
                <a:gd name="T9" fmla="*/ 0 h 36"/>
                <a:gd name="T10" fmla="*/ 0 60000 65536"/>
                <a:gd name="T11" fmla="*/ 0 60000 65536"/>
                <a:gd name="T12" fmla="*/ 0 60000 65536"/>
                <a:gd name="T13" fmla="*/ 0 60000 65536"/>
                <a:gd name="T14" fmla="*/ 0 60000 65536"/>
                <a:gd name="T15" fmla="*/ 0 w 36"/>
                <a:gd name="T16" fmla="*/ 0 h 36"/>
                <a:gd name="T17" fmla="*/ 36 w 36"/>
                <a:gd name="T18" fmla="*/ 36 h 36"/>
              </a:gdLst>
              <a:ahLst/>
              <a:cxnLst>
                <a:cxn ang="T10">
                  <a:pos x="T0" y="T1"/>
                </a:cxn>
                <a:cxn ang="T11">
                  <a:pos x="T2" y="T3"/>
                </a:cxn>
                <a:cxn ang="T12">
                  <a:pos x="T4" y="T5"/>
                </a:cxn>
                <a:cxn ang="T13">
                  <a:pos x="T6" y="T7"/>
                </a:cxn>
                <a:cxn ang="T14">
                  <a:pos x="T8" y="T9"/>
                </a:cxn>
              </a:cxnLst>
              <a:rect l="T15" t="T16" r="T17" b="T18"/>
              <a:pathLst>
                <a:path w="36" h="36">
                  <a:moveTo>
                    <a:pt x="18" y="0"/>
                  </a:moveTo>
                  <a:lnTo>
                    <a:pt x="36" y="18"/>
                  </a:lnTo>
                  <a:lnTo>
                    <a:pt x="18" y="36"/>
                  </a:lnTo>
                  <a:lnTo>
                    <a:pt x="0" y="18"/>
                  </a:lnTo>
                  <a:lnTo>
                    <a:pt x="18" y="0"/>
                  </a:lnTo>
                  <a:close/>
                </a:path>
              </a:pathLst>
            </a:custGeom>
            <a:solidFill>
              <a:srgbClr val="000080"/>
            </a:solidFill>
            <a:ln w="9525">
              <a:solidFill>
                <a:srgbClr val="000080"/>
              </a:solidFill>
              <a:prstDash val="solid"/>
              <a:round/>
              <a:headEnd/>
              <a:tailEnd/>
            </a:ln>
          </xdr:spPr>
        </xdr:sp>
        <xdr:sp macro="" textlink="">
          <xdr:nvSpPr>
            <xdr:cNvPr id="3469149" name="Freeform 12"/>
            <xdr:cNvSpPr>
              <a:spLocks/>
            </xdr:cNvSpPr>
          </xdr:nvSpPr>
          <xdr:spPr bwMode="auto">
            <a:xfrm>
              <a:off x="716" y="186"/>
              <a:ext cx="6" cy="6"/>
            </a:xfrm>
            <a:custGeom>
              <a:avLst/>
              <a:gdLst>
                <a:gd name="T0" fmla="*/ 0 w 36"/>
                <a:gd name="T1" fmla="*/ 0 h 36"/>
                <a:gd name="T2" fmla="*/ 0 w 36"/>
                <a:gd name="T3" fmla="*/ 0 h 36"/>
                <a:gd name="T4" fmla="*/ 0 w 36"/>
                <a:gd name="T5" fmla="*/ 0 h 36"/>
                <a:gd name="T6" fmla="*/ 0 w 36"/>
                <a:gd name="T7" fmla="*/ 0 h 36"/>
                <a:gd name="T8" fmla="*/ 0 w 36"/>
                <a:gd name="T9" fmla="*/ 0 h 36"/>
                <a:gd name="T10" fmla="*/ 0 60000 65536"/>
                <a:gd name="T11" fmla="*/ 0 60000 65536"/>
                <a:gd name="T12" fmla="*/ 0 60000 65536"/>
                <a:gd name="T13" fmla="*/ 0 60000 65536"/>
                <a:gd name="T14" fmla="*/ 0 60000 65536"/>
                <a:gd name="T15" fmla="*/ 0 w 36"/>
                <a:gd name="T16" fmla="*/ 0 h 36"/>
                <a:gd name="T17" fmla="*/ 36 w 36"/>
                <a:gd name="T18" fmla="*/ 36 h 36"/>
              </a:gdLst>
              <a:ahLst/>
              <a:cxnLst>
                <a:cxn ang="T10">
                  <a:pos x="T0" y="T1"/>
                </a:cxn>
                <a:cxn ang="T11">
                  <a:pos x="T2" y="T3"/>
                </a:cxn>
                <a:cxn ang="T12">
                  <a:pos x="T4" y="T5"/>
                </a:cxn>
                <a:cxn ang="T13">
                  <a:pos x="T6" y="T7"/>
                </a:cxn>
                <a:cxn ang="T14">
                  <a:pos x="T8" y="T9"/>
                </a:cxn>
              </a:cxnLst>
              <a:rect l="T15" t="T16" r="T17" b="T18"/>
              <a:pathLst>
                <a:path w="36" h="36">
                  <a:moveTo>
                    <a:pt x="18" y="0"/>
                  </a:moveTo>
                  <a:lnTo>
                    <a:pt x="36" y="18"/>
                  </a:lnTo>
                  <a:lnTo>
                    <a:pt x="18" y="36"/>
                  </a:lnTo>
                  <a:lnTo>
                    <a:pt x="0" y="18"/>
                  </a:lnTo>
                  <a:lnTo>
                    <a:pt x="18" y="0"/>
                  </a:lnTo>
                  <a:close/>
                </a:path>
              </a:pathLst>
            </a:custGeom>
            <a:solidFill>
              <a:srgbClr val="000080"/>
            </a:solidFill>
            <a:ln w="9525">
              <a:solidFill>
                <a:srgbClr val="000080"/>
              </a:solidFill>
              <a:prstDash val="solid"/>
              <a:round/>
              <a:headEnd/>
              <a:tailEnd/>
            </a:ln>
          </xdr:spPr>
        </xdr:sp>
        <xdr:sp macro="" textlink="">
          <xdr:nvSpPr>
            <xdr:cNvPr id="3469150" name="Freeform 13"/>
            <xdr:cNvSpPr>
              <a:spLocks/>
            </xdr:cNvSpPr>
          </xdr:nvSpPr>
          <xdr:spPr bwMode="auto">
            <a:xfrm>
              <a:off x="716" y="165"/>
              <a:ext cx="6" cy="6"/>
            </a:xfrm>
            <a:custGeom>
              <a:avLst/>
              <a:gdLst>
                <a:gd name="T0" fmla="*/ 0 w 36"/>
                <a:gd name="T1" fmla="*/ 0 h 36"/>
                <a:gd name="T2" fmla="*/ 0 w 36"/>
                <a:gd name="T3" fmla="*/ 0 h 36"/>
                <a:gd name="T4" fmla="*/ 0 w 36"/>
                <a:gd name="T5" fmla="*/ 0 h 36"/>
                <a:gd name="T6" fmla="*/ 0 w 36"/>
                <a:gd name="T7" fmla="*/ 0 h 36"/>
                <a:gd name="T8" fmla="*/ 0 w 36"/>
                <a:gd name="T9" fmla="*/ 0 h 36"/>
                <a:gd name="T10" fmla="*/ 0 60000 65536"/>
                <a:gd name="T11" fmla="*/ 0 60000 65536"/>
                <a:gd name="T12" fmla="*/ 0 60000 65536"/>
                <a:gd name="T13" fmla="*/ 0 60000 65536"/>
                <a:gd name="T14" fmla="*/ 0 60000 65536"/>
                <a:gd name="T15" fmla="*/ 0 w 36"/>
                <a:gd name="T16" fmla="*/ 0 h 36"/>
                <a:gd name="T17" fmla="*/ 36 w 36"/>
                <a:gd name="T18" fmla="*/ 36 h 36"/>
              </a:gdLst>
              <a:ahLst/>
              <a:cxnLst>
                <a:cxn ang="T10">
                  <a:pos x="T0" y="T1"/>
                </a:cxn>
                <a:cxn ang="T11">
                  <a:pos x="T2" y="T3"/>
                </a:cxn>
                <a:cxn ang="T12">
                  <a:pos x="T4" y="T5"/>
                </a:cxn>
                <a:cxn ang="T13">
                  <a:pos x="T6" y="T7"/>
                </a:cxn>
                <a:cxn ang="T14">
                  <a:pos x="T8" y="T9"/>
                </a:cxn>
              </a:cxnLst>
              <a:rect l="T15" t="T16" r="T17" b="T18"/>
              <a:pathLst>
                <a:path w="36" h="36">
                  <a:moveTo>
                    <a:pt x="18" y="0"/>
                  </a:moveTo>
                  <a:lnTo>
                    <a:pt x="36" y="18"/>
                  </a:lnTo>
                  <a:lnTo>
                    <a:pt x="18" y="36"/>
                  </a:lnTo>
                  <a:lnTo>
                    <a:pt x="0" y="18"/>
                  </a:lnTo>
                  <a:lnTo>
                    <a:pt x="18" y="0"/>
                  </a:lnTo>
                  <a:close/>
                </a:path>
              </a:pathLst>
            </a:custGeom>
            <a:solidFill>
              <a:srgbClr val="000080"/>
            </a:solidFill>
            <a:ln w="9525">
              <a:solidFill>
                <a:srgbClr val="000080"/>
              </a:solidFill>
              <a:prstDash val="solid"/>
              <a:round/>
              <a:headEnd/>
              <a:tailEnd/>
            </a:ln>
          </xdr:spPr>
        </xdr:sp>
        <xdr:sp macro="" textlink="">
          <xdr:nvSpPr>
            <xdr:cNvPr id="3469151" name="Freeform 14"/>
            <xdr:cNvSpPr>
              <a:spLocks/>
            </xdr:cNvSpPr>
          </xdr:nvSpPr>
          <xdr:spPr bwMode="auto">
            <a:xfrm>
              <a:off x="716" y="207"/>
              <a:ext cx="6" cy="6"/>
            </a:xfrm>
            <a:custGeom>
              <a:avLst/>
              <a:gdLst>
                <a:gd name="T0" fmla="*/ 0 w 36"/>
                <a:gd name="T1" fmla="*/ 0 h 36"/>
                <a:gd name="T2" fmla="*/ 0 w 36"/>
                <a:gd name="T3" fmla="*/ 0 h 36"/>
                <a:gd name="T4" fmla="*/ 0 w 36"/>
                <a:gd name="T5" fmla="*/ 0 h 36"/>
                <a:gd name="T6" fmla="*/ 0 w 36"/>
                <a:gd name="T7" fmla="*/ 0 h 36"/>
                <a:gd name="T8" fmla="*/ 0 w 36"/>
                <a:gd name="T9" fmla="*/ 0 h 36"/>
                <a:gd name="T10" fmla="*/ 0 60000 65536"/>
                <a:gd name="T11" fmla="*/ 0 60000 65536"/>
                <a:gd name="T12" fmla="*/ 0 60000 65536"/>
                <a:gd name="T13" fmla="*/ 0 60000 65536"/>
                <a:gd name="T14" fmla="*/ 0 60000 65536"/>
                <a:gd name="T15" fmla="*/ 0 w 36"/>
                <a:gd name="T16" fmla="*/ 0 h 36"/>
                <a:gd name="T17" fmla="*/ 36 w 36"/>
                <a:gd name="T18" fmla="*/ 36 h 36"/>
              </a:gdLst>
              <a:ahLst/>
              <a:cxnLst>
                <a:cxn ang="T10">
                  <a:pos x="T0" y="T1"/>
                </a:cxn>
                <a:cxn ang="T11">
                  <a:pos x="T2" y="T3"/>
                </a:cxn>
                <a:cxn ang="T12">
                  <a:pos x="T4" y="T5"/>
                </a:cxn>
                <a:cxn ang="T13">
                  <a:pos x="T6" y="T7"/>
                </a:cxn>
                <a:cxn ang="T14">
                  <a:pos x="T8" y="T9"/>
                </a:cxn>
              </a:cxnLst>
              <a:rect l="T15" t="T16" r="T17" b="T18"/>
              <a:pathLst>
                <a:path w="36" h="36">
                  <a:moveTo>
                    <a:pt x="18" y="0"/>
                  </a:moveTo>
                  <a:lnTo>
                    <a:pt x="36" y="18"/>
                  </a:lnTo>
                  <a:lnTo>
                    <a:pt x="18" y="36"/>
                  </a:lnTo>
                  <a:lnTo>
                    <a:pt x="0" y="18"/>
                  </a:lnTo>
                  <a:lnTo>
                    <a:pt x="18" y="0"/>
                  </a:lnTo>
                  <a:close/>
                </a:path>
              </a:pathLst>
            </a:custGeom>
            <a:solidFill>
              <a:srgbClr val="000080"/>
            </a:solidFill>
            <a:ln w="9525">
              <a:solidFill>
                <a:srgbClr val="000080"/>
              </a:solidFill>
              <a:prstDash val="solid"/>
              <a:round/>
              <a:headEnd/>
              <a:tailEnd/>
            </a:ln>
          </xdr:spPr>
        </xdr:sp>
        <xdr:sp macro="" textlink="">
          <xdr:nvSpPr>
            <xdr:cNvPr id="3469152" name="Freeform 15"/>
            <xdr:cNvSpPr>
              <a:spLocks/>
            </xdr:cNvSpPr>
          </xdr:nvSpPr>
          <xdr:spPr bwMode="auto">
            <a:xfrm>
              <a:off x="716" y="273"/>
              <a:ext cx="6" cy="6"/>
            </a:xfrm>
            <a:custGeom>
              <a:avLst/>
              <a:gdLst>
                <a:gd name="T0" fmla="*/ 0 w 36"/>
                <a:gd name="T1" fmla="*/ 0 h 36"/>
                <a:gd name="T2" fmla="*/ 0 w 36"/>
                <a:gd name="T3" fmla="*/ 0 h 36"/>
                <a:gd name="T4" fmla="*/ 0 w 36"/>
                <a:gd name="T5" fmla="*/ 0 h 36"/>
                <a:gd name="T6" fmla="*/ 0 w 36"/>
                <a:gd name="T7" fmla="*/ 0 h 36"/>
                <a:gd name="T8" fmla="*/ 0 w 36"/>
                <a:gd name="T9" fmla="*/ 0 h 36"/>
                <a:gd name="T10" fmla="*/ 0 60000 65536"/>
                <a:gd name="T11" fmla="*/ 0 60000 65536"/>
                <a:gd name="T12" fmla="*/ 0 60000 65536"/>
                <a:gd name="T13" fmla="*/ 0 60000 65536"/>
                <a:gd name="T14" fmla="*/ 0 60000 65536"/>
                <a:gd name="T15" fmla="*/ 0 w 36"/>
                <a:gd name="T16" fmla="*/ 0 h 36"/>
                <a:gd name="T17" fmla="*/ 36 w 36"/>
                <a:gd name="T18" fmla="*/ 36 h 36"/>
              </a:gdLst>
              <a:ahLst/>
              <a:cxnLst>
                <a:cxn ang="T10">
                  <a:pos x="T0" y="T1"/>
                </a:cxn>
                <a:cxn ang="T11">
                  <a:pos x="T2" y="T3"/>
                </a:cxn>
                <a:cxn ang="T12">
                  <a:pos x="T4" y="T5"/>
                </a:cxn>
                <a:cxn ang="T13">
                  <a:pos x="T6" y="T7"/>
                </a:cxn>
                <a:cxn ang="T14">
                  <a:pos x="T8" y="T9"/>
                </a:cxn>
              </a:cxnLst>
              <a:rect l="T15" t="T16" r="T17" b="T18"/>
              <a:pathLst>
                <a:path w="36" h="36">
                  <a:moveTo>
                    <a:pt x="18" y="0"/>
                  </a:moveTo>
                  <a:lnTo>
                    <a:pt x="36" y="18"/>
                  </a:lnTo>
                  <a:lnTo>
                    <a:pt x="18" y="36"/>
                  </a:lnTo>
                  <a:lnTo>
                    <a:pt x="0" y="18"/>
                  </a:lnTo>
                  <a:lnTo>
                    <a:pt x="18" y="0"/>
                  </a:lnTo>
                  <a:close/>
                </a:path>
              </a:pathLst>
            </a:custGeom>
            <a:solidFill>
              <a:srgbClr val="000080"/>
            </a:solidFill>
            <a:ln w="9525">
              <a:solidFill>
                <a:srgbClr val="000080"/>
              </a:solidFill>
              <a:prstDash val="solid"/>
              <a:round/>
              <a:headEnd/>
              <a:tailEnd/>
            </a:ln>
          </xdr:spPr>
        </xdr:sp>
        <xdr:sp macro="" textlink="">
          <xdr:nvSpPr>
            <xdr:cNvPr id="3469153" name="Freeform 16"/>
            <xdr:cNvSpPr>
              <a:spLocks/>
            </xdr:cNvSpPr>
          </xdr:nvSpPr>
          <xdr:spPr bwMode="auto">
            <a:xfrm>
              <a:off x="716" y="251"/>
              <a:ext cx="6" cy="6"/>
            </a:xfrm>
            <a:custGeom>
              <a:avLst/>
              <a:gdLst>
                <a:gd name="T0" fmla="*/ 0 w 36"/>
                <a:gd name="T1" fmla="*/ 0 h 36"/>
                <a:gd name="T2" fmla="*/ 0 w 36"/>
                <a:gd name="T3" fmla="*/ 0 h 36"/>
                <a:gd name="T4" fmla="*/ 0 w 36"/>
                <a:gd name="T5" fmla="*/ 0 h 36"/>
                <a:gd name="T6" fmla="*/ 0 w 36"/>
                <a:gd name="T7" fmla="*/ 0 h 36"/>
                <a:gd name="T8" fmla="*/ 0 w 36"/>
                <a:gd name="T9" fmla="*/ 0 h 36"/>
                <a:gd name="T10" fmla="*/ 0 60000 65536"/>
                <a:gd name="T11" fmla="*/ 0 60000 65536"/>
                <a:gd name="T12" fmla="*/ 0 60000 65536"/>
                <a:gd name="T13" fmla="*/ 0 60000 65536"/>
                <a:gd name="T14" fmla="*/ 0 60000 65536"/>
                <a:gd name="T15" fmla="*/ 0 w 36"/>
                <a:gd name="T16" fmla="*/ 0 h 36"/>
                <a:gd name="T17" fmla="*/ 36 w 36"/>
                <a:gd name="T18" fmla="*/ 36 h 36"/>
              </a:gdLst>
              <a:ahLst/>
              <a:cxnLst>
                <a:cxn ang="T10">
                  <a:pos x="T0" y="T1"/>
                </a:cxn>
                <a:cxn ang="T11">
                  <a:pos x="T2" y="T3"/>
                </a:cxn>
                <a:cxn ang="T12">
                  <a:pos x="T4" y="T5"/>
                </a:cxn>
                <a:cxn ang="T13">
                  <a:pos x="T6" y="T7"/>
                </a:cxn>
                <a:cxn ang="T14">
                  <a:pos x="T8" y="T9"/>
                </a:cxn>
              </a:cxnLst>
              <a:rect l="T15" t="T16" r="T17" b="T18"/>
              <a:pathLst>
                <a:path w="36" h="36">
                  <a:moveTo>
                    <a:pt x="18" y="0"/>
                  </a:moveTo>
                  <a:lnTo>
                    <a:pt x="36" y="18"/>
                  </a:lnTo>
                  <a:lnTo>
                    <a:pt x="18" y="36"/>
                  </a:lnTo>
                  <a:lnTo>
                    <a:pt x="0" y="18"/>
                  </a:lnTo>
                  <a:lnTo>
                    <a:pt x="18" y="0"/>
                  </a:lnTo>
                  <a:close/>
                </a:path>
              </a:pathLst>
            </a:custGeom>
            <a:solidFill>
              <a:srgbClr val="000080"/>
            </a:solidFill>
            <a:ln w="9525">
              <a:solidFill>
                <a:srgbClr val="000080"/>
              </a:solidFill>
              <a:prstDash val="solid"/>
              <a:round/>
              <a:headEnd/>
              <a:tailEnd/>
            </a:ln>
          </xdr:spPr>
        </xdr:sp>
        <xdr:sp macro="" textlink="">
          <xdr:nvSpPr>
            <xdr:cNvPr id="3469154" name="Freeform 17"/>
            <xdr:cNvSpPr>
              <a:spLocks/>
            </xdr:cNvSpPr>
          </xdr:nvSpPr>
          <xdr:spPr bwMode="auto">
            <a:xfrm>
              <a:off x="716" y="294"/>
              <a:ext cx="6" cy="6"/>
            </a:xfrm>
            <a:custGeom>
              <a:avLst/>
              <a:gdLst>
                <a:gd name="T0" fmla="*/ 0 w 36"/>
                <a:gd name="T1" fmla="*/ 0 h 36"/>
                <a:gd name="T2" fmla="*/ 0 w 36"/>
                <a:gd name="T3" fmla="*/ 0 h 36"/>
                <a:gd name="T4" fmla="*/ 0 w 36"/>
                <a:gd name="T5" fmla="*/ 0 h 36"/>
                <a:gd name="T6" fmla="*/ 0 w 36"/>
                <a:gd name="T7" fmla="*/ 0 h 36"/>
                <a:gd name="T8" fmla="*/ 0 w 36"/>
                <a:gd name="T9" fmla="*/ 0 h 36"/>
                <a:gd name="T10" fmla="*/ 0 60000 65536"/>
                <a:gd name="T11" fmla="*/ 0 60000 65536"/>
                <a:gd name="T12" fmla="*/ 0 60000 65536"/>
                <a:gd name="T13" fmla="*/ 0 60000 65536"/>
                <a:gd name="T14" fmla="*/ 0 60000 65536"/>
                <a:gd name="T15" fmla="*/ 0 w 36"/>
                <a:gd name="T16" fmla="*/ 0 h 36"/>
                <a:gd name="T17" fmla="*/ 36 w 36"/>
                <a:gd name="T18" fmla="*/ 36 h 36"/>
              </a:gdLst>
              <a:ahLst/>
              <a:cxnLst>
                <a:cxn ang="T10">
                  <a:pos x="T0" y="T1"/>
                </a:cxn>
                <a:cxn ang="T11">
                  <a:pos x="T2" y="T3"/>
                </a:cxn>
                <a:cxn ang="T12">
                  <a:pos x="T4" y="T5"/>
                </a:cxn>
                <a:cxn ang="T13">
                  <a:pos x="T6" y="T7"/>
                </a:cxn>
                <a:cxn ang="T14">
                  <a:pos x="T8" y="T9"/>
                </a:cxn>
              </a:cxnLst>
              <a:rect l="T15" t="T16" r="T17" b="T18"/>
              <a:pathLst>
                <a:path w="36" h="36">
                  <a:moveTo>
                    <a:pt x="18" y="0"/>
                  </a:moveTo>
                  <a:lnTo>
                    <a:pt x="36" y="18"/>
                  </a:lnTo>
                  <a:lnTo>
                    <a:pt x="18" y="36"/>
                  </a:lnTo>
                  <a:lnTo>
                    <a:pt x="0" y="18"/>
                  </a:lnTo>
                  <a:lnTo>
                    <a:pt x="18" y="0"/>
                  </a:lnTo>
                  <a:close/>
                </a:path>
              </a:pathLst>
            </a:custGeom>
            <a:solidFill>
              <a:srgbClr val="000080"/>
            </a:solidFill>
            <a:ln w="9525">
              <a:solidFill>
                <a:srgbClr val="000080"/>
              </a:solidFill>
              <a:prstDash val="solid"/>
              <a:round/>
              <a:headEnd/>
              <a:tailEnd/>
            </a:ln>
          </xdr:spPr>
        </xdr:sp>
        <xdr:sp macro="" textlink="">
          <xdr:nvSpPr>
            <xdr:cNvPr id="3469155" name="Freeform 18"/>
            <xdr:cNvSpPr>
              <a:spLocks/>
            </xdr:cNvSpPr>
          </xdr:nvSpPr>
          <xdr:spPr bwMode="auto">
            <a:xfrm>
              <a:off x="716" y="197"/>
              <a:ext cx="6" cy="6"/>
            </a:xfrm>
            <a:custGeom>
              <a:avLst/>
              <a:gdLst>
                <a:gd name="T0" fmla="*/ 0 w 36"/>
                <a:gd name="T1" fmla="*/ 0 h 36"/>
                <a:gd name="T2" fmla="*/ 0 w 36"/>
                <a:gd name="T3" fmla="*/ 0 h 36"/>
                <a:gd name="T4" fmla="*/ 0 w 36"/>
                <a:gd name="T5" fmla="*/ 0 h 36"/>
                <a:gd name="T6" fmla="*/ 0 w 36"/>
                <a:gd name="T7" fmla="*/ 0 h 36"/>
                <a:gd name="T8" fmla="*/ 0 w 36"/>
                <a:gd name="T9" fmla="*/ 0 h 36"/>
                <a:gd name="T10" fmla="*/ 0 60000 65536"/>
                <a:gd name="T11" fmla="*/ 0 60000 65536"/>
                <a:gd name="T12" fmla="*/ 0 60000 65536"/>
                <a:gd name="T13" fmla="*/ 0 60000 65536"/>
                <a:gd name="T14" fmla="*/ 0 60000 65536"/>
                <a:gd name="T15" fmla="*/ 0 w 36"/>
                <a:gd name="T16" fmla="*/ 0 h 36"/>
                <a:gd name="T17" fmla="*/ 36 w 36"/>
                <a:gd name="T18" fmla="*/ 36 h 36"/>
              </a:gdLst>
              <a:ahLst/>
              <a:cxnLst>
                <a:cxn ang="T10">
                  <a:pos x="T0" y="T1"/>
                </a:cxn>
                <a:cxn ang="T11">
                  <a:pos x="T2" y="T3"/>
                </a:cxn>
                <a:cxn ang="T12">
                  <a:pos x="T4" y="T5"/>
                </a:cxn>
                <a:cxn ang="T13">
                  <a:pos x="T6" y="T7"/>
                </a:cxn>
                <a:cxn ang="T14">
                  <a:pos x="T8" y="T9"/>
                </a:cxn>
              </a:cxnLst>
              <a:rect l="T15" t="T16" r="T17" b="T18"/>
              <a:pathLst>
                <a:path w="36" h="36">
                  <a:moveTo>
                    <a:pt x="18" y="0"/>
                  </a:moveTo>
                  <a:lnTo>
                    <a:pt x="36" y="18"/>
                  </a:lnTo>
                  <a:lnTo>
                    <a:pt x="18" y="36"/>
                  </a:lnTo>
                  <a:lnTo>
                    <a:pt x="0" y="18"/>
                  </a:lnTo>
                  <a:lnTo>
                    <a:pt x="18" y="0"/>
                  </a:lnTo>
                  <a:close/>
                </a:path>
              </a:pathLst>
            </a:custGeom>
            <a:solidFill>
              <a:srgbClr val="000080"/>
            </a:solidFill>
            <a:ln w="9525">
              <a:solidFill>
                <a:srgbClr val="000080"/>
              </a:solidFill>
              <a:prstDash val="solid"/>
              <a:round/>
              <a:headEnd/>
              <a:tailEnd/>
            </a:ln>
          </xdr:spPr>
        </xdr:sp>
        <xdr:sp macro="" textlink="">
          <xdr:nvSpPr>
            <xdr:cNvPr id="3469156" name="Freeform 19"/>
            <xdr:cNvSpPr>
              <a:spLocks/>
            </xdr:cNvSpPr>
          </xdr:nvSpPr>
          <xdr:spPr bwMode="auto">
            <a:xfrm>
              <a:off x="716" y="230"/>
              <a:ext cx="6" cy="6"/>
            </a:xfrm>
            <a:custGeom>
              <a:avLst/>
              <a:gdLst>
                <a:gd name="T0" fmla="*/ 0 w 36"/>
                <a:gd name="T1" fmla="*/ 0 h 36"/>
                <a:gd name="T2" fmla="*/ 0 w 36"/>
                <a:gd name="T3" fmla="*/ 0 h 36"/>
                <a:gd name="T4" fmla="*/ 0 w 36"/>
                <a:gd name="T5" fmla="*/ 0 h 36"/>
                <a:gd name="T6" fmla="*/ 0 w 36"/>
                <a:gd name="T7" fmla="*/ 0 h 36"/>
                <a:gd name="T8" fmla="*/ 0 w 36"/>
                <a:gd name="T9" fmla="*/ 0 h 36"/>
                <a:gd name="T10" fmla="*/ 0 60000 65536"/>
                <a:gd name="T11" fmla="*/ 0 60000 65536"/>
                <a:gd name="T12" fmla="*/ 0 60000 65536"/>
                <a:gd name="T13" fmla="*/ 0 60000 65536"/>
                <a:gd name="T14" fmla="*/ 0 60000 65536"/>
                <a:gd name="T15" fmla="*/ 0 w 36"/>
                <a:gd name="T16" fmla="*/ 0 h 36"/>
                <a:gd name="T17" fmla="*/ 36 w 36"/>
                <a:gd name="T18" fmla="*/ 36 h 36"/>
              </a:gdLst>
              <a:ahLst/>
              <a:cxnLst>
                <a:cxn ang="T10">
                  <a:pos x="T0" y="T1"/>
                </a:cxn>
                <a:cxn ang="T11">
                  <a:pos x="T2" y="T3"/>
                </a:cxn>
                <a:cxn ang="T12">
                  <a:pos x="T4" y="T5"/>
                </a:cxn>
                <a:cxn ang="T13">
                  <a:pos x="T6" y="T7"/>
                </a:cxn>
                <a:cxn ang="T14">
                  <a:pos x="T8" y="T9"/>
                </a:cxn>
              </a:cxnLst>
              <a:rect l="T15" t="T16" r="T17" b="T18"/>
              <a:pathLst>
                <a:path w="36" h="36">
                  <a:moveTo>
                    <a:pt x="18" y="0"/>
                  </a:moveTo>
                  <a:lnTo>
                    <a:pt x="36" y="18"/>
                  </a:lnTo>
                  <a:lnTo>
                    <a:pt x="18" y="36"/>
                  </a:lnTo>
                  <a:lnTo>
                    <a:pt x="0" y="18"/>
                  </a:lnTo>
                  <a:lnTo>
                    <a:pt x="18" y="0"/>
                  </a:lnTo>
                  <a:close/>
                </a:path>
              </a:pathLst>
            </a:custGeom>
            <a:solidFill>
              <a:srgbClr val="000080"/>
            </a:solidFill>
            <a:ln w="9525">
              <a:solidFill>
                <a:srgbClr val="000080"/>
              </a:solidFill>
              <a:prstDash val="solid"/>
              <a:round/>
              <a:headEnd/>
              <a:tailEnd/>
            </a:ln>
          </xdr:spPr>
        </xdr:sp>
        <xdr:sp macro="" textlink="">
          <xdr:nvSpPr>
            <xdr:cNvPr id="3469157" name="Freeform 20"/>
            <xdr:cNvSpPr>
              <a:spLocks/>
            </xdr:cNvSpPr>
          </xdr:nvSpPr>
          <xdr:spPr bwMode="auto">
            <a:xfrm>
              <a:off x="716" y="261"/>
              <a:ext cx="6" cy="6"/>
            </a:xfrm>
            <a:custGeom>
              <a:avLst/>
              <a:gdLst>
                <a:gd name="T0" fmla="*/ 0 w 36"/>
                <a:gd name="T1" fmla="*/ 0 h 36"/>
                <a:gd name="T2" fmla="*/ 0 w 36"/>
                <a:gd name="T3" fmla="*/ 0 h 36"/>
                <a:gd name="T4" fmla="*/ 0 w 36"/>
                <a:gd name="T5" fmla="*/ 0 h 36"/>
                <a:gd name="T6" fmla="*/ 0 w 36"/>
                <a:gd name="T7" fmla="*/ 0 h 36"/>
                <a:gd name="T8" fmla="*/ 0 w 36"/>
                <a:gd name="T9" fmla="*/ 0 h 36"/>
                <a:gd name="T10" fmla="*/ 0 60000 65536"/>
                <a:gd name="T11" fmla="*/ 0 60000 65536"/>
                <a:gd name="T12" fmla="*/ 0 60000 65536"/>
                <a:gd name="T13" fmla="*/ 0 60000 65536"/>
                <a:gd name="T14" fmla="*/ 0 60000 65536"/>
                <a:gd name="T15" fmla="*/ 0 w 36"/>
                <a:gd name="T16" fmla="*/ 0 h 36"/>
                <a:gd name="T17" fmla="*/ 36 w 36"/>
                <a:gd name="T18" fmla="*/ 36 h 36"/>
              </a:gdLst>
              <a:ahLst/>
              <a:cxnLst>
                <a:cxn ang="T10">
                  <a:pos x="T0" y="T1"/>
                </a:cxn>
                <a:cxn ang="T11">
                  <a:pos x="T2" y="T3"/>
                </a:cxn>
                <a:cxn ang="T12">
                  <a:pos x="T4" y="T5"/>
                </a:cxn>
                <a:cxn ang="T13">
                  <a:pos x="T6" y="T7"/>
                </a:cxn>
                <a:cxn ang="T14">
                  <a:pos x="T8" y="T9"/>
                </a:cxn>
              </a:cxnLst>
              <a:rect l="T15" t="T16" r="T17" b="T18"/>
              <a:pathLst>
                <a:path w="36" h="36">
                  <a:moveTo>
                    <a:pt x="18" y="0"/>
                  </a:moveTo>
                  <a:lnTo>
                    <a:pt x="36" y="18"/>
                  </a:lnTo>
                  <a:lnTo>
                    <a:pt x="18" y="36"/>
                  </a:lnTo>
                  <a:lnTo>
                    <a:pt x="0" y="18"/>
                  </a:lnTo>
                  <a:lnTo>
                    <a:pt x="18" y="0"/>
                  </a:lnTo>
                  <a:close/>
                </a:path>
              </a:pathLst>
            </a:custGeom>
            <a:solidFill>
              <a:srgbClr val="000080"/>
            </a:solidFill>
            <a:ln w="9525">
              <a:solidFill>
                <a:srgbClr val="000080"/>
              </a:solidFill>
              <a:prstDash val="solid"/>
              <a:round/>
              <a:headEnd/>
              <a:tailEnd/>
            </a:ln>
          </xdr:spPr>
        </xdr:sp>
        <xdr:sp macro="" textlink="">
          <xdr:nvSpPr>
            <xdr:cNvPr id="3469158" name="Freeform 21"/>
            <xdr:cNvSpPr>
              <a:spLocks/>
            </xdr:cNvSpPr>
          </xdr:nvSpPr>
          <xdr:spPr bwMode="auto">
            <a:xfrm>
              <a:off x="716" y="240"/>
              <a:ext cx="6" cy="6"/>
            </a:xfrm>
            <a:custGeom>
              <a:avLst/>
              <a:gdLst>
                <a:gd name="T0" fmla="*/ 0 w 36"/>
                <a:gd name="T1" fmla="*/ 0 h 36"/>
                <a:gd name="T2" fmla="*/ 0 w 36"/>
                <a:gd name="T3" fmla="*/ 0 h 36"/>
                <a:gd name="T4" fmla="*/ 0 w 36"/>
                <a:gd name="T5" fmla="*/ 0 h 36"/>
                <a:gd name="T6" fmla="*/ 0 w 36"/>
                <a:gd name="T7" fmla="*/ 0 h 36"/>
                <a:gd name="T8" fmla="*/ 0 w 36"/>
                <a:gd name="T9" fmla="*/ 0 h 36"/>
                <a:gd name="T10" fmla="*/ 0 60000 65536"/>
                <a:gd name="T11" fmla="*/ 0 60000 65536"/>
                <a:gd name="T12" fmla="*/ 0 60000 65536"/>
                <a:gd name="T13" fmla="*/ 0 60000 65536"/>
                <a:gd name="T14" fmla="*/ 0 60000 65536"/>
                <a:gd name="T15" fmla="*/ 0 w 36"/>
                <a:gd name="T16" fmla="*/ 0 h 36"/>
                <a:gd name="T17" fmla="*/ 36 w 36"/>
                <a:gd name="T18" fmla="*/ 36 h 36"/>
              </a:gdLst>
              <a:ahLst/>
              <a:cxnLst>
                <a:cxn ang="T10">
                  <a:pos x="T0" y="T1"/>
                </a:cxn>
                <a:cxn ang="T11">
                  <a:pos x="T2" y="T3"/>
                </a:cxn>
                <a:cxn ang="T12">
                  <a:pos x="T4" y="T5"/>
                </a:cxn>
                <a:cxn ang="T13">
                  <a:pos x="T6" y="T7"/>
                </a:cxn>
                <a:cxn ang="T14">
                  <a:pos x="T8" y="T9"/>
                </a:cxn>
              </a:cxnLst>
              <a:rect l="T15" t="T16" r="T17" b="T18"/>
              <a:pathLst>
                <a:path w="36" h="36">
                  <a:moveTo>
                    <a:pt x="18" y="0"/>
                  </a:moveTo>
                  <a:lnTo>
                    <a:pt x="36" y="18"/>
                  </a:lnTo>
                  <a:lnTo>
                    <a:pt x="18" y="36"/>
                  </a:lnTo>
                  <a:lnTo>
                    <a:pt x="0" y="18"/>
                  </a:lnTo>
                  <a:lnTo>
                    <a:pt x="18" y="0"/>
                  </a:lnTo>
                  <a:close/>
                </a:path>
              </a:pathLst>
            </a:custGeom>
            <a:solidFill>
              <a:srgbClr val="000080"/>
            </a:solidFill>
            <a:ln w="9525">
              <a:solidFill>
                <a:srgbClr val="000080"/>
              </a:solidFill>
              <a:prstDash val="solid"/>
              <a:round/>
              <a:headEnd/>
              <a:tailEnd/>
            </a:ln>
          </xdr:spPr>
        </xdr:sp>
        <xdr:sp macro="" textlink="">
          <xdr:nvSpPr>
            <xdr:cNvPr id="3469159" name="Freeform 22"/>
            <xdr:cNvSpPr>
              <a:spLocks/>
            </xdr:cNvSpPr>
          </xdr:nvSpPr>
          <xdr:spPr bwMode="auto">
            <a:xfrm>
              <a:off x="716" y="207"/>
              <a:ext cx="6" cy="6"/>
            </a:xfrm>
            <a:custGeom>
              <a:avLst/>
              <a:gdLst>
                <a:gd name="T0" fmla="*/ 0 w 36"/>
                <a:gd name="T1" fmla="*/ 0 h 36"/>
                <a:gd name="T2" fmla="*/ 0 w 36"/>
                <a:gd name="T3" fmla="*/ 0 h 36"/>
                <a:gd name="T4" fmla="*/ 0 w 36"/>
                <a:gd name="T5" fmla="*/ 0 h 36"/>
                <a:gd name="T6" fmla="*/ 0 w 36"/>
                <a:gd name="T7" fmla="*/ 0 h 36"/>
                <a:gd name="T8" fmla="*/ 0 w 36"/>
                <a:gd name="T9" fmla="*/ 0 h 36"/>
                <a:gd name="T10" fmla="*/ 0 60000 65536"/>
                <a:gd name="T11" fmla="*/ 0 60000 65536"/>
                <a:gd name="T12" fmla="*/ 0 60000 65536"/>
                <a:gd name="T13" fmla="*/ 0 60000 65536"/>
                <a:gd name="T14" fmla="*/ 0 60000 65536"/>
                <a:gd name="T15" fmla="*/ 0 w 36"/>
                <a:gd name="T16" fmla="*/ 0 h 36"/>
                <a:gd name="T17" fmla="*/ 36 w 36"/>
                <a:gd name="T18" fmla="*/ 36 h 36"/>
              </a:gdLst>
              <a:ahLst/>
              <a:cxnLst>
                <a:cxn ang="T10">
                  <a:pos x="T0" y="T1"/>
                </a:cxn>
                <a:cxn ang="T11">
                  <a:pos x="T2" y="T3"/>
                </a:cxn>
                <a:cxn ang="T12">
                  <a:pos x="T4" y="T5"/>
                </a:cxn>
                <a:cxn ang="T13">
                  <a:pos x="T6" y="T7"/>
                </a:cxn>
                <a:cxn ang="T14">
                  <a:pos x="T8" y="T9"/>
                </a:cxn>
              </a:cxnLst>
              <a:rect l="T15" t="T16" r="T17" b="T18"/>
              <a:pathLst>
                <a:path w="36" h="36">
                  <a:moveTo>
                    <a:pt x="18" y="0"/>
                  </a:moveTo>
                  <a:lnTo>
                    <a:pt x="36" y="18"/>
                  </a:lnTo>
                  <a:lnTo>
                    <a:pt x="18" y="36"/>
                  </a:lnTo>
                  <a:lnTo>
                    <a:pt x="0" y="18"/>
                  </a:lnTo>
                  <a:lnTo>
                    <a:pt x="18" y="0"/>
                  </a:lnTo>
                  <a:close/>
                </a:path>
              </a:pathLst>
            </a:custGeom>
            <a:solidFill>
              <a:srgbClr val="000080"/>
            </a:solidFill>
            <a:ln w="9525">
              <a:solidFill>
                <a:srgbClr val="000080"/>
              </a:solidFill>
              <a:prstDash val="solid"/>
              <a:round/>
              <a:headEnd/>
              <a:tailEnd/>
            </a:ln>
          </xdr:spPr>
        </xdr:sp>
      </xdr:grpSp>
    </xdr:grpSp>
    <xdr:clientData/>
  </xdr:twoCellAnchor>
  <xdr:twoCellAnchor>
    <xdr:from>
      <xdr:col>4</xdr:col>
      <xdr:colOff>22860</xdr:colOff>
      <xdr:row>13</xdr:row>
      <xdr:rowOff>45720</xdr:rowOff>
    </xdr:from>
    <xdr:to>
      <xdr:col>5</xdr:col>
      <xdr:colOff>312420</xdr:colOff>
      <xdr:row>20</xdr:row>
      <xdr:rowOff>137160</xdr:rowOff>
    </xdr:to>
    <xdr:sp macro="" textlink="">
      <xdr:nvSpPr>
        <xdr:cNvPr id="3469090" name="Line 25"/>
        <xdr:cNvSpPr>
          <a:spLocks noChangeShapeType="1"/>
        </xdr:cNvSpPr>
      </xdr:nvSpPr>
      <xdr:spPr bwMode="auto">
        <a:xfrm flipH="1">
          <a:off x="2590800" y="2529840"/>
          <a:ext cx="975360" cy="126492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251460</xdr:colOff>
      <xdr:row>21</xdr:row>
      <xdr:rowOff>68580</xdr:rowOff>
    </xdr:from>
    <xdr:to>
      <xdr:col>15</xdr:col>
      <xdr:colOff>320040</xdr:colOff>
      <xdr:row>33</xdr:row>
      <xdr:rowOff>68580</xdr:rowOff>
    </xdr:to>
    <xdr:grpSp>
      <xdr:nvGrpSpPr>
        <xdr:cNvPr id="3469091" name="Group 75"/>
        <xdr:cNvGrpSpPr>
          <a:grpSpLocks/>
        </xdr:cNvGrpSpPr>
      </xdr:nvGrpSpPr>
      <xdr:grpSpPr bwMode="auto">
        <a:xfrm>
          <a:off x="7071360" y="3893820"/>
          <a:ext cx="2171700" cy="2103120"/>
          <a:chOff x="750" y="405"/>
          <a:chExt cx="263" cy="204"/>
        </a:xfrm>
      </xdr:grpSpPr>
      <xdr:grpSp>
        <xdr:nvGrpSpPr>
          <xdr:cNvPr id="3469117" name="Group 48"/>
          <xdr:cNvGrpSpPr>
            <a:grpSpLocks/>
          </xdr:cNvGrpSpPr>
        </xdr:nvGrpSpPr>
        <xdr:grpSpPr bwMode="auto">
          <a:xfrm>
            <a:off x="750" y="405"/>
            <a:ext cx="263" cy="204"/>
            <a:chOff x="344" y="110"/>
            <a:chExt cx="294" cy="253"/>
          </a:xfrm>
        </xdr:grpSpPr>
        <xdr:graphicFrame macro="">
          <xdr:nvGraphicFramePr>
            <xdr:cNvPr id="3469128" name="Chart 49"/>
            <xdr:cNvGraphicFramePr>
              <a:graphicFrameLocks/>
            </xdr:cNvGraphicFramePr>
          </xdr:nvGraphicFramePr>
          <xdr:xfrm>
            <a:off x="344" y="110"/>
            <a:ext cx="294" cy="253"/>
          </xdr:xfrm>
          <a:graphic>
            <a:graphicData uri="http://schemas.openxmlformats.org/drawingml/2006/chart">
              <c:chart xmlns:c="http://schemas.openxmlformats.org/drawingml/2006/chart" xmlns:r="http://schemas.openxmlformats.org/officeDocument/2006/relationships" r:id="rId2"/>
            </a:graphicData>
          </a:graphic>
        </xdr:graphicFrame>
        <xdr:grpSp>
          <xdr:nvGrpSpPr>
            <xdr:cNvPr id="3469129" name="Group 50"/>
            <xdr:cNvGrpSpPr>
              <a:grpSpLocks/>
            </xdr:cNvGrpSpPr>
          </xdr:nvGrpSpPr>
          <xdr:grpSpPr bwMode="auto">
            <a:xfrm>
              <a:off x="545" y="168"/>
              <a:ext cx="6" cy="135"/>
              <a:chOff x="716" y="165"/>
              <a:chExt cx="6" cy="135"/>
            </a:xfrm>
          </xdr:grpSpPr>
          <xdr:sp macro="" textlink="">
            <xdr:nvSpPr>
              <xdr:cNvPr id="3469130" name="Freeform 51"/>
              <xdr:cNvSpPr>
                <a:spLocks/>
              </xdr:cNvSpPr>
            </xdr:nvSpPr>
            <xdr:spPr bwMode="auto">
              <a:xfrm>
                <a:off x="716" y="284"/>
                <a:ext cx="6" cy="6"/>
              </a:xfrm>
              <a:custGeom>
                <a:avLst/>
                <a:gdLst>
                  <a:gd name="T0" fmla="*/ 0 w 36"/>
                  <a:gd name="T1" fmla="*/ 0 h 36"/>
                  <a:gd name="T2" fmla="*/ 0 w 36"/>
                  <a:gd name="T3" fmla="*/ 0 h 36"/>
                  <a:gd name="T4" fmla="*/ 0 w 36"/>
                  <a:gd name="T5" fmla="*/ 0 h 36"/>
                  <a:gd name="T6" fmla="*/ 0 w 36"/>
                  <a:gd name="T7" fmla="*/ 0 h 36"/>
                  <a:gd name="T8" fmla="*/ 0 w 36"/>
                  <a:gd name="T9" fmla="*/ 0 h 36"/>
                  <a:gd name="T10" fmla="*/ 0 60000 65536"/>
                  <a:gd name="T11" fmla="*/ 0 60000 65536"/>
                  <a:gd name="T12" fmla="*/ 0 60000 65536"/>
                  <a:gd name="T13" fmla="*/ 0 60000 65536"/>
                  <a:gd name="T14" fmla="*/ 0 60000 65536"/>
                  <a:gd name="T15" fmla="*/ 0 w 36"/>
                  <a:gd name="T16" fmla="*/ 0 h 36"/>
                  <a:gd name="T17" fmla="*/ 36 w 36"/>
                  <a:gd name="T18" fmla="*/ 36 h 36"/>
                </a:gdLst>
                <a:ahLst/>
                <a:cxnLst>
                  <a:cxn ang="T10">
                    <a:pos x="T0" y="T1"/>
                  </a:cxn>
                  <a:cxn ang="T11">
                    <a:pos x="T2" y="T3"/>
                  </a:cxn>
                  <a:cxn ang="T12">
                    <a:pos x="T4" y="T5"/>
                  </a:cxn>
                  <a:cxn ang="T13">
                    <a:pos x="T6" y="T7"/>
                  </a:cxn>
                  <a:cxn ang="T14">
                    <a:pos x="T8" y="T9"/>
                  </a:cxn>
                </a:cxnLst>
                <a:rect l="T15" t="T16" r="T17" b="T18"/>
                <a:pathLst>
                  <a:path w="36" h="36">
                    <a:moveTo>
                      <a:pt x="18" y="0"/>
                    </a:moveTo>
                    <a:lnTo>
                      <a:pt x="36" y="18"/>
                    </a:lnTo>
                    <a:lnTo>
                      <a:pt x="18" y="36"/>
                    </a:lnTo>
                    <a:lnTo>
                      <a:pt x="0" y="18"/>
                    </a:lnTo>
                    <a:lnTo>
                      <a:pt x="18" y="0"/>
                    </a:lnTo>
                    <a:close/>
                  </a:path>
                </a:pathLst>
              </a:custGeom>
              <a:solidFill>
                <a:srgbClr val="000080"/>
              </a:solidFill>
              <a:ln w="9525">
                <a:solidFill>
                  <a:srgbClr val="000080"/>
                </a:solidFill>
                <a:prstDash val="solid"/>
                <a:round/>
                <a:headEnd/>
                <a:tailEnd/>
              </a:ln>
            </xdr:spPr>
          </xdr:sp>
          <xdr:sp macro="" textlink="">
            <xdr:nvSpPr>
              <xdr:cNvPr id="3469131" name="Freeform 52"/>
              <xdr:cNvSpPr>
                <a:spLocks/>
              </xdr:cNvSpPr>
            </xdr:nvSpPr>
            <xdr:spPr bwMode="auto">
              <a:xfrm>
                <a:off x="716" y="251"/>
                <a:ext cx="6" cy="6"/>
              </a:xfrm>
              <a:custGeom>
                <a:avLst/>
                <a:gdLst>
                  <a:gd name="T0" fmla="*/ 0 w 36"/>
                  <a:gd name="T1" fmla="*/ 0 h 36"/>
                  <a:gd name="T2" fmla="*/ 0 w 36"/>
                  <a:gd name="T3" fmla="*/ 0 h 36"/>
                  <a:gd name="T4" fmla="*/ 0 w 36"/>
                  <a:gd name="T5" fmla="*/ 0 h 36"/>
                  <a:gd name="T6" fmla="*/ 0 w 36"/>
                  <a:gd name="T7" fmla="*/ 0 h 36"/>
                  <a:gd name="T8" fmla="*/ 0 w 36"/>
                  <a:gd name="T9" fmla="*/ 0 h 36"/>
                  <a:gd name="T10" fmla="*/ 0 60000 65536"/>
                  <a:gd name="T11" fmla="*/ 0 60000 65536"/>
                  <a:gd name="T12" fmla="*/ 0 60000 65536"/>
                  <a:gd name="T13" fmla="*/ 0 60000 65536"/>
                  <a:gd name="T14" fmla="*/ 0 60000 65536"/>
                  <a:gd name="T15" fmla="*/ 0 w 36"/>
                  <a:gd name="T16" fmla="*/ 0 h 36"/>
                  <a:gd name="T17" fmla="*/ 36 w 36"/>
                  <a:gd name="T18" fmla="*/ 36 h 36"/>
                </a:gdLst>
                <a:ahLst/>
                <a:cxnLst>
                  <a:cxn ang="T10">
                    <a:pos x="T0" y="T1"/>
                  </a:cxn>
                  <a:cxn ang="T11">
                    <a:pos x="T2" y="T3"/>
                  </a:cxn>
                  <a:cxn ang="T12">
                    <a:pos x="T4" y="T5"/>
                  </a:cxn>
                  <a:cxn ang="T13">
                    <a:pos x="T6" y="T7"/>
                  </a:cxn>
                  <a:cxn ang="T14">
                    <a:pos x="T8" y="T9"/>
                  </a:cxn>
                </a:cxnLst>
                <a:rect l="T15" t="T16" r="T17" b="T18"/>
                <a:pathLst>
                  <a:path w="36" h="36">
                    <a:moveTo>
                      <a:pt x="18" y="0"/>
                    </a:moveTo>
                    <a:lnTo>
                      <a:pt x="36" y="18"/>
                    </a:lnTo>
                    <a:lnTo>
                      <a:pt x="18" y="36"/>
                    </a:lnTo>
                    <a:lnTo>
                      <a:pt x="0" y="18"/>
                    </a:lnTo>
                    <a:lnTo>
                      <a:pt x="18" y="0"/>
                    </a:lnTo>
                    <a:close/>
                  </a:path>
                </a:pathLst>
              </a:custGeom>
              <a:solidFill>
                <a:srgbClr val="000080"/>
              </a:solidFill>
              <a:ln w="9525">
                <a:solidFill>
                  <a:srgbClr val="000080"/>
                </a:solidFill>
                <a:prstDash val="solid"/>
                <a:round/>
                <a:headEnd/>
                <a:tailEnd/>
              </a:ln>
            </xdr:spPr>
          </xdr:sp>
          <xdr:sp macro="" textlink="">
            <xdr:nvSpPr>
              <xdr:cNvPr id="3469132" name="Freeform 53"/>
              <xdr:cNvSpPr>
                <a:spLocks/>
              </xdr:cNvSpPr>
            </xdr:nvSpPr>
            <xdr:spPr bwMode="auto">
              <a:xfrm>
                <a:off x="716" y="273"/>
                <a:ext cx="6" cy="6"/>
              </a:xfrm>
              <a:custGeom>
                <a:avLst/>
                <a:gdLst>
                  <a:gd name="T0" fmla="*/ 0 w 36"/>
                  <a:gd name="T1" fmla="*/ 0 h 36"/>
                  <a:gd name="T2" fmla="*/ 0 w 36"/>
                  <a:gd name="T3" fmla="*/ 0 h 36"/>
                  <a:gd name="T4" fmla="*/ 0 w 36"/>
                  <a:gd name="T5" fmla="*/ 0 h 36"/>
                  <a:gd name="T6" fmla="*/ 0 w 36"/>
                  <a:gd name="T7" fmla="*/ 0 h 36"/>
                  <a:gd name="T8" fmla="*/ 0 w 36"/>
                  <a:gd name="T9" fmla="*/ 0 h 36"/>
                  <a:gd name="T10" fmla="*/ 0 60000 65536"/>
                  <a:gd name="T11" fmla="*/ 0 60000 65536"/>
                  <a:gd name="T12" fmla="*/ 0 60000 65536"/>
                  <a:gd name="T13" fmla="*/ 0 60000 65536"/>
                  <a:gd name="T14" fmla="*/ 0 60000 65536"/>
                  <a:gd name="T15" fmla="*/ 0 w 36"/>
                  <a:gd name="T16" fmla="*/ 0 h 36"/>
                  <a:gd name="T17" fmla="*/ 36 w 36"/>
                  <a:gd name="T18" fmla="*/ 36 h 36"/>
                </a:gdLst>
                <a:ahLst/>
                <a:cxnLst>
                  <a:cxn ang="T10">
                    <a:pos x="T0" y="T1"/>
                  </a:cxn>
                  <a:cxn ang="T11">
                    <a:pos x="T2" y="T3"/>
                  </a:cxn>
                  <a:cxn ang="T12">
                    <a:pos x="T4" y="T5"/>
                  </a:cxn>
                  <a:cxn ang="T13">
                    <a:pos x="T6" y="T7"/>
                  </a:cxn>
                  <a:cxn ang="T14">
                    <a:pos x="T8" y="T9"/>
                  </a:cxn>
                </a:cxnLst>
                <a:rect l="T15" t="T16" r="T17" b="T18"/>
                <a:pathLst>
                  <a:path w="36" h="36">
                    <a:moveTo>
                      <a:pt x="18" y="0"/>
                    </a:moveTo>
                    <a:lnTo>
                      <a:pt x="36" y="18"/>
                    </a:lnTo>
                    <a:lnTo>
                      <a:pt x="18" y="36"/>
                    </a:lnTo>
                    <a:lnTo>
                      <a:pt x="0" y="18"/>
                    </a:lnTo>
                    <a:lnTo>
                      <a:pt x="18" y="0"/>
                    </a:lnTo>
                    <a:close/>
                  </a:path>
                </a:pathLst>
              </a:custGeom>
              <a:solidFill>
                <a:srgbClr val="000080"/>
              </a:solidFill>
              <a:ln w="9525">
                <a:solidFill>
                  <a:srgbClr val="000080"/>
                </a:solidFill>
                <a:prstDash val="solid"/>
                <a:round/>
                <a:headEnd/>
                <a:tailEnd/>
              </a:ln>
            </xdr:spPr>
          </xdr:sp>
          <xdr:sp macro="" textlink="">
            <xdr:nvSpPr>
              <xdr:cNvPr id="3469133" name="Freeform 54"/>
              <xdr:cNvSpPr>
                <a:spLocks/>
              </xdr:cNvSpPr>
            </xdr:nvSpPr>
            <xdr:spPr bwMode="auto">
              <a:xfrm>
                <a:off x="716" y="186"/>
                <a:ext cx="6" cy="6"/>
              </a:xfrm>
              <a:custGeom>
                <a:avLst/>
                <a:gdLst>
                  <a:gd name="T0" fmla="*/ 0 w 36"/>
                  <a:gd name="T1" fmla="*/ 0 h 36"/>
                  <a:gd name="T2" fmla="*/ 0 w 36"/>
                  <a:gd name="T3" fmla="*/ 0 h 36"/>
                  <a:gd name="T4" fmla="*/ 0 w 36"/>
                  <a:gd name="T5" fmla="*/ 0 h 36"/>
                  <a:gd name="T6" fmla="*/ 0 w 36"/>
                  <a:gd name="T7" fmla="*/ 0 h 36"/>
                  <a:gd name="T8" fmla="*/ 0 w 36"/>
                  <a:gd name="T9" fmla="*/ 0 h 36"/>
                  <a:gd name="T10" fmla="*/ 0 60000 65536"/>
                  <a:gd name="T11" fmla="*/ 0 60000 65536"/>
                  <a:gd name="T12" fmla="*/ 0 60000 65536"/>
                  <a:gd name="T13" fmla="*/ 0 60000 65536"/>
                  <a:gd name="T14" fmla="*/ 0 60000 65536"/>
                  <a:gd name="T15" fmla="*/ 0 w 36"/>
                  <a:gd name="T16" fmla="*/ 0 h 36"/>
                  <a:gd name="T17" fmla="*/ 36 w 36"/>
                  <a:gd name="T18" fmla="*/ 36 h 36"/>
                </a:gdLst>
                <a:ahLst/>
                <a:cxnLst>
                  <a:cxn ang="T10">
                    <a:pos x="T0" y="T1"/>
                  </a:cxn>
                  <a:cxn ang="T11">
                    <a:pos x="T2" y="T3"/>
                  </a:cxn>
                  <a:cxn ang="T12">
                    <a:pos x="T4" y="T5"/>
                  </a:cxn>
                  <a:cxn ang="T13">
                    <a:pos x="T6" y="T7"/>
                  </a:cxn>
                  <a:cxn ang="T14">
                    <a:pos x="T8" y="T9"/>
                  </a:cxn>
                </a:cxnLst>
                <a:rect l="T15" t="T16" r="T17" b="T18"/>
                <a:pathLst>
                  <a:path w="36" h="36">
                    <a:moveTo>
                      <a:pt x="18" y="0"/>
                    </a:moveTo>
                    <a:lnTo>
                      <a:pt x="36" y="18"/>
                    </a:lnTo>
                    <a:lnTo>
                      <a:pt x="18" y="36"/>
                    </a:lnTo>
                    <a:lnTo>
                      <a:pt x="0" y="18"/>
                    </a:lnTo>
                    <a:lnTo>
                      <a:pt x="18" y="0"/>
                    </a:lnTo>
                    <a:close/>
                  </a:path>
                </a:pathLst>
              </a:custGeom>
              <a:solidFill>
                <a:srgbClr val="000080"/>
              </a:solidFill>
              <a:ln w="9525">
                <a:solidFill>
                  <a:srgbClr val="000080"/>
                </a:solidFill>
                <a:prstDash val="solid"/>
                <a:round/>
                <a:headEnd/>
                <a:tailEnd/>
              </a:ln>
            </xdr:spPr>
          </xdr:sp>
          <xdr:sp macro="" textlink="">
            <xdr:nvSpPr>
              <xdr:cNvPr id="3469134" name="Freeform 55"/>
              <xdr:cNvSpPr>
                <a:spLocks/>
              </xdr:cNvSpPr>
            </xdr:nvSpPr>
            <xdr:spPr bwMode="auto">
              <a:xfrm>
                <a:off x="716" y="165"/>
                <a:ext cx="6" cy="6"/>
              </a:xfrm>
              <a:custGeom>
                <a:avLst/>
                <a:gdLst>
                  <a:gd name="T0" fmla="*/ 0 w 36"/>
                  <a:gd name="T1" fmla="*/ 0 h 36"/>
                  <a:gd name="T2" fmla="*/ 0 w 36"/>
                  <a:gd name="T3" fmla="*/ 0 h 36"/>
                  <a:gd name="T4" fmla="*/ 0 w 36"/>
                  <a:gd name="T5" fmla="*/ 0 h 36"/>
                  <a:gd name="T6" fmla="*/ 0 w 36"/>
                  <a:gd name="T7" fmla="*/ 0 h 36"/>
                  <a:gd name="T8" fmla="*/ 0 w 36"/>
                  <a:gd name="T9" fmla="*/ 0 h 36"/>
                  <a:gd name="T10" fmla="*/ 0 60000 65536"/>
                  <a:gd name="T11" fmla="*/ 0 60000 65536"/>
                  <a:gd name="T12" fmla="*/ 0 60000 65536"/>
                  <a:gd name="T13" fmla="*/ 0 60000 65536"/>
                  <a:gd name="T14" fmla="*/ 0 60000 65536"/>
                  <a:gd name="T15" fmla="*/ 0 w 36"/>
                  <a:gd name="T16" fmla="*/ 0 h 36"/>
                  <a:gd name="T17" fmla="*/ 36 w 36"/>
                  <a:gd name="T18" fmla="*/ 36 h 36"/>
                </a:gdLst>
                <a:ahLst/>
                <a:cxnLst>
                  <a:cxn ang="T10">
                    <a:pos x="T0" y="T1"/>
                  </a:cxn>
                  <a:cxn ang="T11">
                    <a:pos x="T2" y="T3"/>
                  </a:cxn>
                  <a:cxn ang="T12">
                    <a:pos x="T4" y="T5"/>
                  </a:cxn>
                  <a:cxn ang="T13">
                    <a:pos x="T6" y="T7"/>
                  </a:cxn>
                  <a:cxn ang="T14">
                    <a:pos x="T8" y="T9"/>
                  </a:cxn>
                </a:cxnLst>
                <a:rect l="T15" t="T16" r="T17" b="T18"/>
                <a:pathLst>
                  <a:path w="36" h="36">
                    <a:moveTo>
                      <a:pt x="18" y="0"/>
                    </a:moveTo>
                    <a:lnTo>
                      <a:pt x="36" y="18"/>
                    </a:lnTo>
                    <a:lnTo>
                      <a:pt x="18" y="36"/>
                    </a:lnTo>
                    <a:lnTo>
                      <a:pt x="0" y="18"/>
                    </a:lnTo>
                    <a:lnTo>
                      <a:pt x="18" y="0"/>
                    </a:lnTo>
                    <a:close/>
                  </a:path>
                </a:pathLst>
              </a:custGeom>
              <a:solidFill>
                <a:srgbClr val="000080"/>
              </a:solidFill>
              <a:ln w="9525">
                <a:solidFill>
                  <a:srgbClr val="000080"/>
                </a:solidFill>
                <a:prstDash val="solid"/>
                <a:round/>
                <a:headEnd/>
                <a:tailEnd/>
              </a:ln>
            </xdr:spPr>
          </xdr:sp>
          <xdr:sp macro="" textlink="">
            <xdr:nvSpPr>
              <xdr:cNvPr id="3469135" name="Freeform 56"/>
              <xdr:cNvSpPr>
                <a:spLocks/>
              </xdr:cNvSpPr>
            </xdr:nvSpPr>
            <xdr:spPr bwMode="auto">
              <a:xfrm>
                <a:off x="716" y="207"/>
                <a:ext cx="6" cy="6"/>
              </a:xfrm>
              <a:custGeom>
                <a:avLst/>
                <a:gdLst>
                  <a:gd name="T0" fmla="*/ 0 w 36"/>
                  <a:gd name="T1" fmla="*/ 0 h 36"/>
                  <a:gd name="T2" fmla="*/ 0 w 36"/>
                  <a:gd name="T3" fmla="*/ 0 h 36"/>
                  <a:gd name="T4" fmla="*/ 0 w 36"/>
                  <a:gd name="T5" fmla="*/ 0 h 36"/>
                  <a:gd name="T6" fmla="*/ 0 w 36"/>
                  <a:gd name="T7" fmla="*/ 0 h 36"/>
                  <a:gd name="T8" fmla="*/ 0 w 36"/>
                  <a:gd name="T9" fmla="*/ 0 h 36"/>
                  <a:gd name="T10" fmla="*/ 0 60000 65536"/>
                  <a:gd name="T11" fmla="*/ 0 60000 65536"/>
                  <a:gd name="T12" fmla="*/ 0 60000 65536"/>
                  <a:gd name="T13" fmla="*/ 0 60000 65536"/>
                  <a:gd name="T14" fmla="*/ 0 60000 65536"/>
                  <a:gd name="T15" fmla="*/ 0 w 36"/>
                  <a:gd name="T16" fmla="*/ 0 h 36"/>
                  <a:gd name="T17" fmla="*/ 36 w 36"/>
                  <a:gd name="T18" fmla="*/ 36 h 36"/>
                </a:gdLst>
                <a:ahLst/>
                <a:cxnLst>
                  <a:cxn ang="T10">
                    <a:pos x="T0" y="T1"/>
                  </a:cxn>
                  <a:cxn ang="T11">
                    <a:pos x="T2" y="T3"/>
                  </a:cxn>
                  <a:cxn ang="T12">
                    <a:pos x="T4" y="T5"/>
                  </a:cxn>
                  <a:cxn ang="T13">
                    <a:pos x="T6" y="T7"/>
                  </a:cxn>
                  <a:cxn ang="T14">
                    <a:pos x="T8" y="T9"/>
                  </a:cxn>
                </a:cxnLst>
                <a:rect l="T15" t="T16" r="T17" b="T18"/>
                <a:pathLst>
                  <a:path w="36" h="36">
                    <a:moveTo>
                      <a:pt x="18" y="0"/>
                    </a:moveTo>
                    <a:lnTo>
                      <a:pt x="36" y="18"/>
                    </a:lnTo>
                    <a:lnTo>
                      <a:pt x="18" y="36"/>
                    </a:lnTo>
                    <a:lnTo>
                      <a:pt x="0" y="18"/>
                    </a:lnTo>
                    <a:lnTo>
                      <a:pt x="18" y="0"/>
                    </a:lnTo>
                    <a:close/>
                  </a:path>
                </a:pathLst>
              </a:custGeom>
              <a:solidFill>
                <a:srgbClr val="000080"/>
              </a:solidFill>
              <a:ln w="9525">
                <a:solidFill>
                  <a:srgbClr val="000080"/>
                </a:solidFill>
                <a:prstDash val="solid"/>
                <a:round/>
                <a:headEnd/>
                <a:tailEnd/>
              </a:ln>
            </xdr:spPr>
          </xdr:sp>
          <xdr:sp macro="" textlink="">
            <xdr:nvSpPr>
              <xdr:cNvPr id="3469136" name="Freeform 57"/>
              <xdr:cNvSpPr>
                <a:spLocks/>
              </xdr:cNvSpPr>
            </xdr:nvSpPr>
            <xdr:spPr bwMode="auto">
              <a:xfrm>
                <a:off x="716" y="273"/>
                <a:ext cx="6" cy="6"/>
              </a:xfrm>
              <a:custGeom>
                <a:avLst/>
                <a:gdLst>
                  <a:gd name="T0" fmla="*/ 0 w 36"/>
                  <a:gd name="T1" fmla="*/ 0 h 36"/>
                  <a:gd name="T2" fmla="*/ 0 w 36"/>
                  <a:gd name="T3" fmla="*/ 0 h 36"/>
                  <a:gd name="T4" fmla="*/ 0 w 36"/>
                  <a:gd name="T5" fmla="*/ 0 h 36"/>
                  <a:gd name="T6" fmla="*/ 0 w 36"/>
                  <a:gd name="T7" fmla="*/ 0 h 36"/>
                  <a:gd name="T8" fmla="*/ 0 w 36"/>
                  <a:gd name="T9" fmla="*/ 0 h 36"/>
                  <a:gd name="T10" fmla="*/ 0 60000 65536"/>
                  <a:gd name="T11" fmla="*/ 0 60000 65536"/>
                  <a:gd name="T12" fmla="*/ 0 60000 65536"/>
                  <a:gd name="T13" fmla="*/ 0 60000 65536"/>
                  <a:gd name="T14" fmla="*/ 0 60000 65536"/>
                  <a:gd name="T15" fmla="*/ 0 w 36"/>
                  <a:gd name="T16" fmla="*/ 0 h 36"/>
                  <a:gd name="T17" fmla="*/ 36 w 36"/>
                  <a:gd name="T18" fmla="*/ 36 h 36"/>
                </a:gdLst>
                <a:ahLst/>
                <a:cxnLst>
                  <a:cxn ang="T10">
                    <a:pos x="T0" y="T1"/>
                  </a:cxn>
                  <a:cxn ang="T11">
                    <a:pos x="T2" y="T3"/>
                  </a:cxn>
                  <a:cxn ang="T12">
                    <a:pos x="T4" y="T5"/>
                  </a:cxn>
                  <a:cxn ang="T13">
                    <a:pos x="T6" y="T7"/>
                  </a:cxn>
                  <a:cxn ang="T14">
                    <a:pos x="T8" y="T9"/>
                  </a:cxn>
                </a:cxnLst>
                <a:rect l="T15" t="T16" r="T17" b="T18"/>
                <a:pathLst>
                  <a:path w="36" h="36">
                    <a:moveTo>
                      <a:pt x="18" y="0"/>
                    </a:moveTo>
                    <a:lnTo>
                      <a:pt x="36" y="18"/>
                    </a:lnTo>
                    <a:lnTo>
                      <a:pt x="18" y="36"/>
                    </a:lnTo>
                    <a:lnTo>
                      <a:pt x="0" y="18"/>
                    </a:lnTo>
                    <a:lnTo>
                      <a:pt x="18" y="0"/>
                    </a:lnTo>
                    <a:close/>
                  </a:path>
                </a:pathLst>
              </a:custGeom>
              <a:solidFill>
                <a:srgbClr val="000080"/>
              </a:solidFill>
              <a:ln w="9525">
                <a:solidFill>
                  <a:srgbClr val="000080"/>
                </a:solidFill>
                <a:prstDash val="solid"/>
                <a:round/>
                <a:headEnd/>
                <a:tailEnd/>
              </a:ln>
            </xdr:spPr>
          </xdr:sp>
          <xdr:sp macro="" textlink="">
            <xdr:nvSpPr>
              <xdr:cNvPr id="3469137" name="Freeform 58"/>
              <xdr:cNvSpPr>
                <a:spLocks/>
              </xdr:cNvSpPr>
            </xdr:nvSpPr>
            <xdr:spPr bwMode="auto">
              <a:xfrm>
                <a:off x="716" y="251"/>
                <a:ext cx="6" cy="6"/>
              </a:xfrm>
              <a:custGeom>
                <a:avLst/>
                <a:gdLst>
                  <a:gd name="T0" fmla="*/ 0 w 36"/>
                  <a:gd name="T1" fmla="*/ 0 h 36"/>
                  <a:gd name="T2" fmla="*/ 0 w 36"/>
                  <a:gd name="T3" fmla="*/ 0 h 36"/>
                  <a:gd name="T4" fmla="*/ 0 w 36"/>
                  <a:gd name="T5" fmla="*/ 0 h 36"/>
                  <a:gd name="T6" fmla="*/ 0 w 36"/>
                  <a:gd name="T7" fmla="*/ 0 h 36"/>
                  <a:gd name="T8" fmla="*/ 0 w 36"/>
                  <a:gd name="T9" fmla="*/ 0 h 36"/>
                  <a:gd name="T10" fmla="*/ 0 60000 65536"/>
                  <a:gd name="T11" fmla="*/ 0 60000 65536"/>
                  <a:gd name="T12" fmla="*/ 0 60000 65536"/>
                  <a:gd name="T13" fmla="*/ 0 60000 65536"/>
                  <a:gd name="T14" fmla="*/ 0 60000 65536"/>
                  <a:gd name="T15" fmla="*/ 0 w 36"/>
                  <a:gd name="T16" fmla="*/ 0 h 36"/>
                  <a:gd name="T17" fmla="*/ 36 w 36"/>
                  <a:gd name="T18" fmla="*/ 36 h 36"/>
                </a:gdLst>
                <a:ahLst/>
                <a:cxnLst>
                  <a:cxn ang="T10">
                    <a:pos x="T0" y="T1"/>
                  </a:cxn>
                  <a:cxn ang="T11">
                    <a:pos x="T2" y="T3"/>
                  </a:cxn>
                  <a:cxn ang="T12">
                    <a:pos x="T4" y="T5"/>
                  </a:cxn>
                  <a:cxn ang="T13">
                    <a:pos x="T6" y="T7"/>
                  </a:cxn>
                  <a:cxn ang="T14">
                    <a:pos x="T8" y="T9"/>
                  </a:cxn>
                </a:cxnLst>
                <a:rect l="T15" t="T16" r="T17" b="T18"/>
                <a:pathLst>
                  <a:path w="36" h="36">
                    <a:moveTo>
                      <a:pt x="18" y="0"/>
                    </a:moveTo>
                    <a:lnTo>
                      <a:pt x="36" y="18"/>
                    </a:lnTo>
                    <a:lnTo>
                      <a:pt x="18" y="36"/>
                    </a:lnTo>
                    <a:lnTo>
                      <a:pt x="0" y="18"/>
                    </a:lnTo>
                    <a:lnTo>
                      <a:pt x="18" y="0"/>
                    </a:lnTo>
                    <a:close/>
                  </a:path>
                </a:pathLst>
              </a:custGeom>
              <a:solidFill>
                <a:srgbClr val="000080"/>
              </a:solidFill>
              <a:ln w="9525">
                <a:solidFill>
                  <a:srgbClr val="000080"/>
                </a:solidFill>
                <a:prstDash val="solid"/>
                <a:round/>
                <a:headEnd/>
                <a:tailEnd/>
              </a:ln>
            </xdr:spPr>
          </xdr:sp>
          <xdr:sp macro="" textlink="">
            <xdr:nvSpPr>
              <xdr:cNvPr id="3469138" name="Freeform 59"/>
              <xdr:cNvSpPr>
                <a:spLocks/>
              </xdr:cNvSpPr>
            </xdr:nvSpPr>
            <xdr:spPr bwMode="auto">
              <a:xfrm>
                <a:off x="716" y="294"/>
                <a:ext cx="6" cy="6"/>
              </a:xfrm>
              <a:custGeom>
                <a:avLst/>
                <a:gdLst>
                  <a:gd name="T0" fmla="*/ 0 w 36"/>
                  <a:gd name="T1" fmla="*/ 0 h 36"/>
                  <a:gd name="T2" fmla="*/ 0 w 36"/>
                  <a:gd name="T3" fmla="*/ 0 h 36"/>
                  <a:gd name="T4" fmla="*/ 0 w 36"/>
                  <a:gd name="T5" fmla="*/ 0 h 36"/>
                  <a:gd name="T6" fmla="*/ 0 w 36"/>
                  <a:gd name="T7" fmla="*/ 0 h 36"/>
                  <a:gd name="T8" fmla="*/ 0 w 36"/>
                  <a:gd name="T9" fmla="*/ 0 h 36"/>
                  <a:gd name="T10" fmla="*/ 0 60000 65536"/>
                  <a:gd name="T11" fmla="*/ 0 60000 65536"/>
                  <a:gd name="T12" fmla="*/ 0 60000 65536"/>
                  <a:gd name="T13" fmla="*/ 0 60000 65536"/>
                  <a:gd name="T14" fmla="*/ 0 60000 65536"/>
                  <a:gd name="T15" fmla="*/ 0 w 36"/>
                  <a:gd name="T16" fmla="*/ 0 h 36"/>
                  <a:gd name="T17" fmla="*/ 36 w 36"/>
                  <a:gd name="T18" fmla="*/ 36 h 36"/>
                </a:gdLst>
                <a:ahLst/>
                <a:cxnLst>
                  <a:cxn ang="T10">
                    <a:pos x="T0" y="T1"/>
                  </a:cxn>
                  <a:cxn ang="T11">
                    <a:pos x="T2" y="T3"/>
                  </a:cxn>
                  <a:cxn ang="T12">
                    <a:pos x="T4" y="T5"/>
                  </a:cxn>
                  <a:cxn ang="T13">
                    <a:pos x="T6" y="T7"/>
                  </a:cxn>
                  <a:cxn ang="T14">
                    <a:pos x="T8" y="T9"/>
                  </a:cxn>
                </a:cxnLst>
                <a:rect l="T15" t="T16" r="T17" b="T18"/>
                <a:pathLst>
                  <a:path w="36" h="36">
                    <a:moveTo>
                      <a:pt x="18" y="0"/>
                    </a:moveTo>
                    <a:lnTo>
                      <a:pt x="36" y="18"/>
                    </a:lnTo>
                    <a:lnTo>
                      <a:pt x="18" y="36"/>
                    </a:lnTo>
                    <a:lnTo>
                      <a:pt x="0" y="18"/>
                    </a:lnTo>
                    <a:lnTo>
                      <a:pt x="18" y="0"/>
                    </a:lnTo>
                    <a:close/>
                  </a:path>
                </a:pathLst>
              </a:custGeom>
              <a:solidFill>
                <a:srgbClr val="000080"/>
              </a:solidFill>
              <a:ln w="9525">
                <a:solidFill>
                  <a:srgbClr val="000080"/>
                </a:solidFill>
                <a:prstDash val="solid"/>
                <a:round/>
                <a:headEnd/>
                <a:tailEnd/>
              </a:ln>
            </xdr:spPr>
          </xdr:sp>
          <xdr:sp macro="" textlink="">
            <xdr:nvSpPr>
              <xdr:cNvPr id="3469139" name="Freeform 60"/>
              <xdr:cNvSpPr>
                <a:spLocks/>
              </xdr:cNvSpPr>
            </xdr:nvSpPr>
            <xdr:spPr bwMode="auto">
              <a:xfrm>
                <a:off x="716" y="197"/>
                <a:ext cx="6" cy="6"/>
              </a:xfrm>
              <a:custGeom>
                <a:avLst/>
                <a:gdLst>
                  <a:gd name="T0" fmla="*/ 0 w 36"/>
                  <a:gd name="T1" fmla="*/ 0 h 36"/>
                  <a:gd name="T2" fmla="*/ 0 w 36"/>
                  <a:gd name="T3" fmla="*/ 0 h 36"/>
                  <a:gd name="T4" fmla="*/ 0 w 36"/>
                  <a:gd name="T5" fmla="*/ 0 h 36"/>
                  <a:gd name="T6" fmla="*/ 0 w 36"/>
                  <a:gd name="T7" fmla="*/ 0 h 36"/>
                  <a:gd name="T8" fmla="*/ 0 w 36"/>
                  <a:gd name="T9" fmla="*/ 0 h 36"/>
                  <a:gd name="T10" fmla="*/ 0 60000 65536"/>
                  <a:gd name="T11" fmla="*/ 0 60000 65536"/>
                  <a:gd name="T12" fmla="*/ 0 60000 65536"/>
                  <a:gd name="T13" fmla="*/ 0 60000 65536"/>
                  <a:gd name="T14" fmla="*/ 0 60000 65536"/>
                  <a:gd name="T15" fmla="*/ 0 w 36"/>
                  <a:gd name="T16" fmla="*/ 0 h 36"/>
                  <a:gd name="T17" fmla="*/ 36 w 36"/>
                  <a:gd name="T18" fmla="*/ 36 h 36"/>
                </a:gdLst>
                <a:ahLst/>
                <a:cxnLst>
                  <a:cxn ang="T10">
                    <a:pos x="T0" y="T1"/>
                  </a:cxn>
                  <a:cxn ang="T11">
                    <a:pos x="T2" y="T3"/>
                  </a:cxn>
                  <a:cxn ang="T12">
                    <a:pos x="T4" y="T5"/>
                  </a:cxn>
                  <a:cxn ang="T13">
                    <a:pos x="T6" y="T7"/>
                  </a:cxn>
                  <a:cxn ang="T14">
                    <a:pos x="T8" y="T9"/>
                  </a:cxn>
                </a:cxnLst>
                <a:rect l="T15" t="T16" r="T17" b="T18"/>
                <a:pathLst>
                  <a:path w="36" h="36">
                    <a:moveTo>
                      <a:pt x="18" y="0"/>
                    </a:moveTo>
                    <a:lnTo>
                      <a:pt x="36" y="18"/>
                    </a:lnTo>
                    <a:lnTo>
                      <a:pt x="18" y="36"/>
                    </a:lnTo>
                    <a:lnTo>
                      <a:pt x="0" y="18"/>
                    </a:lnTo>
                    <a:lnTo>
                      <a:pt x="18" y="0"/>
                    </a:lnTo>
                    <a:close/>
                  </a:path>
                </a:pathLst>
              </a:custGeom>
              <a:solidFill>
                <a:srgbClr val="000080"/>
              </a:solidFill>
              <a:ln w="9525">
                <a:solidFill>
                  <a:srgbClr val="000080"/>
                </a:solidFill>
                <a:prstDash val="solid"/>
                <a:round/>
                <a:headEnd/>
                <a:tailEnd/>
              </a:ln>
            </xdr:spPr>
          </xdr:sp>
          <xdr:sp macro="" textlink="">
            <xdr:nvSpPr>
              <xdr:cNvPr id="3469140" name="Freeform 61"/>
              <xdr:cNvSpPr>
                <a:spLocks/>
              </xdr:cNvSpPr>
            </xdr:nvSpPr>
            <xdr:spPr bwMode="auto">
              <a:xfrm>
                <a:off x="716" y="230"/>
                <a:ext cx="6" cy="6"/>
              </a:xfrm>
              <a:custGeom>
                <a:avLst/>
                <a:gdLst>
                  <a:gd name="T0" fmla="*/ 0 w 36"/>
                  <a:gd name="T1" fmla="*/ 0 h 36"/>
                  <a:gd name="T2" fmla="*/ 0 w 36"/>
                  <a:gd name="T3" fmla="*/ 0 h 36"/>
                  <a:gd name="T4" fmla="*/ 0 w 36"/>
                  <a:gd name="T5" fmla="*/ 0 h 36"/>
                  <a:gd name="T6" fmla="*/ 0 w 36"/>
                  <a:gd name="T7" fmla="*/ 0 h 36"/>
                  <a:gd name="T8" fmla="*/ 0 w 36"/>
                  <a:gd name="T9" fmla="*/ 0 h 36"/>
                  <a:gd name="T10" fmla="*/ 0 60000 65536"/>
                  <a:gd name="T11" fmla="*/ 0 60000 65536"/>
                  <a:gd name="T12" fmla="*/ 0 60000 65536"/>
                  <a:gd name="T13" fmla="*/ 0 60000 65536"/>
                  <a:gd name="T14" fmla="*/ 0 60000 65536"/>
                  <a:gd name="T15" fmla="*/ 0 w 36"/>
                  <a:gd name="T16" fmla="*/ 0 h 36"/>
                  <a:gd name="T17" fmla="*/ 36 w 36"/>
                  <a:gd name="T18" fmla="*/ 36 h 36"/>
                </a:gdLst>
                <a:ahLst/>
                <a:cxnLst>
                  <a:cxn ang="T10">
                    <a:pos x="T0" y="T1"/>
                  </a:cxn>
                  <a:cxn ang="T11">
                    <a:pos x="T2" y="T3"/>
                  </a:cxn>
                  <a:cxn ang="T12">
                    <a:pos x="T4" y="T5"/>
                  </a:cxn>
                  <a:cxn ang="T13">
                    <a:pos x="T6" y="T7"/>
                  </a:cxn>
                  <a:cxn ang="T14">
                    <a:pos x="T8" y="T9"/>
                  </a:cxn>
                </a:cxnLst>
                <a:rect l="T15" t="T16" r="T17" b="T18"/>
                <a:pathLst>
                  <a:path w="36" h="36">
                    <a:moveTo>
                      <a:pt x="18" y="0"/>
                    </a:moveTo>
                    <a:lnTo>
                      <a:pt x="36" y="18"/>
                    </a:lnTo>
                    <a:lnTo>
                      <a:pt x="18" y="36"/>
                    </a:lnTo>
                    <a:lnTo>
                      <a:pt x="0" y="18"/>
                    </a:lnTo>
                    <a:lnTo>
                      <a:pt x="18" y="0"/>
                    </a:lnTo>
                    <a:close/>
                  </a:path>
                </a:pathLst>
              </a:custGeom>
              <a:solidFill>
                <a:srgbClr val="000080"/>
              </a:solidFill>
              <a:ln w="9525">
                <a:solidFill>
                  <a:srgbClr val="000080"/>
                </a:solidFill>
                <a:prstDash val="solid"/>
                <a:round/>
                <a:headEnd/>
                <a:tailEnd/>
              </a:ln>
            </xdr:spPr>
          </xdr:sp>
          <xdr:sp macro="" textlink="">
            <xdr:nvSpPr>
              <xdr:cNvPr id="3469141" name="Freeform 62"/>
              <xdr:cNvSpPr>
                <a:spLocks/>
              </xdr:cNvSpPr>
            </xdr:nvSpPr>
            <xdr:spPr bwMode="auto">
              <a:xfrm>
                <a:off x="716" y="261"/>
                <a:ext cx="6" cy="6"/>
              </a:xfrm>
              <a:custGeom>
                <a:avLst/>
                <a:gdLst>
                  <a:gd name="T0" fmla="*/ 0 w 36"/>
                  <a:gd name="T1" fmla="*/ 0 h 36"/>
                  <a:gd name="T2" fmla="*/ 0 w 36"/>
                  <a:gd name="T3" fmla="*/ 0 h 36"/>
                  <a:gd name="T4" fmla="*/ 0 w 36"/>
                  <a:gd name="T5" fmla="*/ 0 h 36"/>
                  <a:gd name="T6" fmla="*/ 0 w 36"/>
                  <a:gd name="T7" fmla="*/ 0 h 36"/>
                  <a:gd name="T8" fmla="*/ 0 w 36"/>
                  <a:gd name="T9" fmla="*/ 0 h 36"/>
                  <a:gd name="T10" fmla="*/ 0 60000 65536"/>
                  <a:gd name="T11" fmla="*/ 0 60000 65536"/>
                  <a:gd name="T12" fmla="*/ 0 60000 65536"/>
                  <a:gd name="T13" fmla="*/ 0 60000 65536"/>
                  <a:gd name="T14" fmla="*/ 0 60000 65536"/>
                  <a:gd name="T15" fmla="*/ 0 w 36"/>
                  <a:gd name="T16" fmla="*/ 0 h 36"/>
                  <a:gd name="T17" fmla="*/ 36 w 36"/>
                  <a:gd name="T18" fmla="*/ 36 h 36"/>
                </a:gdLst>
                <a:ahLst/>
                <a:cxnLst>
                  <a:cxn ang="T10">
                    <a:pos x="T0" y="T1"/>
                  </a:cxn>
                  <a:cxn ang="T11">
                    <a:pos x="T2" y="T3"/>
                  </a:cxn>
                  <a:cxn ang="T12">
                    <a:pos x="T4" y="T5"/>
                  </a:cxn>
                  <a:cxn ang="T13">
                    <a:pos x="T6" y="T7"/>
                  </a:cxn>
                  <a:cxn ang="T14">
                    <a:pos x="T8" y="T9"/>
                  </a:cxn>
                </a:cxnLst>
                <a:rect l="T15" t="T16" r="T17" b="T18"/>
                <a:pathLst>
                  <a:path w="36" h="36">
                    <a:moveTo>
                      <a:pt x="18" y="0"/>
                    </a:moveTo>
                    <a:lnTo>
                      <a:pt x="36" y="18"/>
                    </a:lnTo>
                    <a:lnTo>
                      <a:pt x="18" y="36"/>
                    </a:lnTo>
                    <a:lnTo>
                      <a:pt x="0" y="18"/>
                    </a:lnTo>
                    <a:lnTo>
                      <a:pt x="18" y="0"/>
                    </a:lnTo>
                    <a:close/>
                  </a:path>
                </a:pathLst>
              </a:custGeom>
              <a:solidFill>
                <a:srgbClr val="000080"/>
              </a:solidFill>
              <a:ln w="9525">
                <a:solidFill>
                  <a:srgbClr val="000080"/>
                </a:solidFill>
                <a:prstDash val="solid"/>
                <a:round/>
                <a:headEnd/>
                <a:tailEnd/>
              </a:ln>
            </xdr:spPr>
          </xdr:sp>
          <xdr:sp macro="" textlink="">
            <xdr:nvSpPr>
              <xdr:cNvPr id="3469142" name="Freeform 63"/>
              <xdr:cNvSpPr>
                <a:spLocks/>
              </xdr:cNvSpPr>
            </xdr:nvSpPr>
            <xdr:spPr bwMode="auto">
              <a:xfrm>
                <a:off x="716" y="240"/>
                <a:ext cx="6" cy="6"/>
              </a:xfrm>
              <a:custGeom>
                <a:avLst/>
                <a:gdLst>
                  <a:gd name="T0" fmla="*/ 0 w 36"/>
                  <a:gd name="T1" fmla="*/ 0 h 36"/>
                  <a:gd name="T2" fmla="*/ 0 w 36"/>
                  <a:gd name="T3" fmla="*/ 0 h 36"/>
                  <a:gd name="T4" fmla="*/ 0 w 36"/>
                  <a:gd name="T5" fmla="*/ 0 h 36"/>
                  <a:gd name="T6" fmla="*/ 0 w 36"/>
                  <a:gd name="T7" fmla="*/ 0 h 36"/>
                  <a:gd name="T8" fmla="*/ 0 w 36"/>
                  <a:gd name="T9" fmla="*/ 0 h 36"/>
                  <a:gd name="T10" fmla="*/ 0 60000 65536"/>
                  <a:gd name="T11" fmla="*/ 0 60000 65536"/>
                  <a:gd name="T12" fmla="*/ 0 60000 65536"/>
                  <a:gd name="T13" fmla="*/ 0 60000 65536"/>
                  <a:gd name="T14" fmla="*/ 0 60000 65536"/>
                  <a:gd name="T15" fmla="*/ 0 w 36"/>
                  <a:gd name="T16" fmla="*/ 0 h 36"/>
                  <a:gd name="T17" fmla="*/ 36 w 36"/>
                  <a:gd name="T18" fmla="*/ 36 h 36"/>
                </a:gdLst>
                <a:ahLst/>
                <a:cxnLst>
                  <a:cxn ang="T10">
                    <a:pos x="T0" y="T1"/>
                  </a:cxn>
                  <a:cxn ang="T11">
                    <a:pos x="T2" y="T3"/>
                  </a:cxn>
                  <a:cxn ang="T12">
                    <a:pos x="T4" y="T5"/>
                  </a:cxn>
                  <a:cxn ang="T13">
                    <a:pos x="T6" y="T7"/>
                  </a:cxn>
                  <a:cxn ang="T14">
                    <a:pos x="T8" y="T9"/>
                  </a:cxn>
                </a:cxnLst>
                <a:rect l="T15" t="T16" r="T17" b="T18"/>
                <a:pathLst>
                  <a:path w="36" h="36">
                    <a:moveTo>
                      <a:pt x="18" y="0"/>
                    </a:moveTo>
                    <a:lnTo>
                      <a:pt x="36" y="18"/>
                    </a:lnTo>
                    <a:lnTo>
                      <a:pt x="18" y="36"/>
                    </a:lnTo>
                    <a:lnTo>
                      <a:pt x="0" y="18"/>
                    </a:lnTo>
                    <a:lnTo>
                      <a:pt x="18" y="0"/>
                    </a:lnTo>
                    <a:close/>
                  </a:path>
                </a:pathLst>
              </a:custGeom>
              <a:solidFill>
                <a:srgbClr val="000080"/>
              </a:solidFill>
              <a:ln w="9525">
                <a:solidFill>
                  <a:srgbClr val="000080"/>
                </a:solidFill>
                <a:prstDash val="solid"/>
                <a:round/>
                <a:headEnd/>
                <a:tailEnd/>
              </a:ln>
            </xdr:spPr>
          </xdr:sp>
          <xdr:sp macro="" textlink="">
            <xdr:nvSpPr>
              <xdr:cNvPr id="3469143" name="Freeform 64"/>
              <xdr:cNvSpPr>
                <a:spLocks/>
              </xdr:cNvSpPr>
            </xdr:nvSpPr>
            <xdr:spPr bwMode="auto">
              <a:xfrm>
                <a:off x="716" y="207"/>
                <a:ext cx="6" cy="6"/>
              </a:xfrm>
              <a:custGeom>
                <a:avLst/>
                <a:gdLst>
                  <a:gd name="T0" fmla="*/ 0 w 36"/>
                  <a:gd name="T1" fmla="*/ 0 h 36"/>
                  <a:gd name="T2" fmla="*/ 0 w 36"/>
                  <a:gd name="T3" fmla="*/ 0 h 36"/>
                  <a:gd name="T4" fmla="*/ 0 w 36"/>
                  <a:gd name="T5" fmla="*/ 0 h 36"/>
                  <a:gd name="T6" fmla="*/ 0 w 36"/>
                  <a:gd name="T7" fmla="*/ 0 h 36"/>
                  <a:gd name="T8" fmla="*/ 0 w 36"/>
                  <a:gd name="T9" fmla="*/ 0 h 36"/>
                  <a:gd name="T10" fmla="*/ 0 60000 65536"/>
                  <a:gd name="T11" fmla="*/ 0 60000 65536"/>
                  <a:gd name="T12" fmla="*/ 0 60000 65536"/>
                  <a:gd name="T13" fmla="*/ 0 60000 65536"/>
                  <a:gd name="T14" fmla="*/ 0 60000 65536"/>
                  <a:gd name="T15" fmla="*/ 0 w 36"/>
                  <a:gd name="T16" fmla="*/ 0 h 36"/>
                  <a:gd name="T17" fmla="*/ 36 w 36"/>
                  <a:gd name="T18" fmla="*/ 36 h 36"/>
                </a:gdLst>
                <a:ahLst/>
                <a:cxnLst>
                  <a:cxn ang="T10">
                    <a:pos x="T0" y="T1"/>
                  </a:cxn>
                  <a:cxn ang="T11">
                    <a:pos x="T2" y="T3"/>
                  </a:cxn>
                  <a:cxn ang="T12">
                    <a:pos x="T4" y="T5"/>
                  </a:cxn>
                  <a:cxn ang="T13">
                    <a:pos x="T6" y="T7"/>
                  </a:cxn>
                  <a:cxn ang="T14">
                    <a:pos x="T8" y="T9"/>
                  </a:cxn>
                </a:cxnLst>
                <a:rect l="T15" t="T16" r="T17" b="T18"/>
                <a:pathLst>
                  <a:path w="36" h="36">
                    <a:moveTo>
                      <a:pt x="18" y="0"/>
                    </a:moveTo>
                    <a:lnTo>
                      <a:pt x="36" y="18"/>
                    </a:lnTo>
                    <a:lnTo>
                      <a:pt x="18" y="36"/>
                    </a:lnTo>
                    <a:lnTo>
                      <a:pt x="0" y="18"/>
                    </a:lnTo>
                    <a:lnTo>
                      <a:pt x="18" y="0"/>
                    </a:lnTo>
                    <a:close/>
                  </a:path>
                </a:pathLst>
              </a:custGeom>
              <a:solidFill>
                <a:srgbClr val="000080"/>
              </a:solidFill>
              <a:ln w="9525">
                <a:solidFill>
                  <a:srgbClr val="000080"/>
                </a:solidFill>
                <a:prstDash val="solid"/>
                <a:round/>
                <a:headEnd/>
                <a:tailEnd/>
              </a:ln>
            </xdr:spPr>
          </xdr:sp>
        </xdr:grpSp>
      </xdr:grpSp>
      <xdr:sp macro="" textlink="">
        <xdr:nvSpPr>
          <xdr:cNvPr id="3469118" name="Line 65"/>
          <xdr:cNvSpPr>
            <a:spLocks noChangeShapeType="1"/>
          </xdr:cNvSpPr>
        </xdr:nvSpPr>
        <xdr:spPr bwMode="auto">
          <a:xfrm>
            <a:off x="820" y="442"/>
            <a:ext cx="97" cy="12"/>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469119" name="Line 66"/>
          <xdr:cNvSpPr>
            <a:spLocks noChangeShapeType="1"/>
          </xdr:cNvSpPr>
        </xdr:nvSpPr>
        <xdr:spPr bwMode="auto">
          <a:xfrm>
            <a:off x="820" y="470"/>
            <a:ext cx="97" cy="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469120" name="Line 67"/>
          <xdr:cNvSpPr>
            <a:spLocks noChangeShapeType="1"/>
          </xdr:cNvSpPr>
        </xdr:nvSpPr>
        <xdr:spPr bwMode="auto">
          <a:xfrm flipV="1">
            <a:off x="821" y="482"/>
            <a:ext cx="95" cy="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469121" name="Line 68"/>
          <xdr:cNvSpPr>
            <a:spLocks noChangeShapeType="1"/>
          </xdr:cNvSpPr>
        </xdr:nvSpPr>
        <xdr:spPr bwMode="auto">
          <a:xfrm>
            <a:off x="820" y="493"/>
            <a:ext cx="97" cy="12"/>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469122" name="Line 69"/>
          <xdr:cNvSpPr>
            <a:spLocks noChangeShapeType="1"/>
          </xdr:cNvSpPr>
        </xdr:nvSpPr>
        <xdr:spPr bwMode="auto">
          <a:xfrm>
            <a:off x="814" y="504"/>
            <a:ext cx="109" cy="22"/>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469123" name="Line 70"/>
          <xdr:cNvSpPr>
            <a:spLocks noChangeShapeType="1"/>
          </xdr:cNvSpPr>
        </xdr:nvSpPr>
        <xdr:spPr bwMode="auto">
          <a:xfrm>
            <a:off x="819" y="526"/>
            <a:ext cx="97" cy="12"/>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469124" name="Line 71"/>
          <xdr:cNvSpPr>
            <a:spLocks noChangeShapeType="1"/>
          </xdr:cNvSpPr>
        </xdr:nvSpPr>
        <xdr:spPr bwMode="auto">
          <a:xfrm>
            <a:off x="822" y="516"/>
            <a:ext cx="106" cy="3"/>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469125" name="Line 72"/>
          <xdr:cNvSpPr>
            <a:spLocks noChangeShapeType="1"/>
          </xdr:cNvSpPr>
        </xdr:nvSpPr>
        <xdr:spPr bwMode="auto">
          <a:xfrm>
            <a:off x="821" y="543"/>
            <a:ext cx="101" cy="17"/>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469126" name="Line 73"/>
          <xdr:cNvSpPr>
            <a:spLocks noChangeShapeType="1"/>
          </xdr:cNvSpPr>
        </xdr:nvSpPr>
        <xdr:spPr bwMode="auto">
          <a:xfrm>
            <a:off x="817" y="512"/>
            <a:ext cx="104" cy="22"/>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469127" name="Line 74"/>
          <xdr:cNvSpPr>
            <a:spLocks noChangeShapeType="1"/>
          </xdr:cNvSpPr>
        </xdr:nvSpPr>
        <xdr:spPr bwMode="auto">
          <a:xfrm>
            <a:off x="820" y="522"/>
            <a:ext cx="104" cy="29"/>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0</xdr:col>
      <xdr:colOff>202565</xdr:colOff>
      <xdr:row>43</xdr:row>
      <xdr:rowOff>9525</xdr:rowOff>
    </xdr:from>
    <xdr:to>
      <xdr:col>15</xdr:col>
      <xdr:colOff>1915</xdr:colOff>
      <xdr:row>55</xdr:row>
      <xdr:rowOff>122557</xdr:rowOff>
    </xdr:to>
    <xdr:sp macro="" textlink="">
      <xdr:nvSpPr>
        <xdr:cNvPr id="8268" name="Text Box 76"/>
        <xdr:cNvSpPr txBox="1">
          <a:spLocks noChangeArrowheads="1"/>
        </xdr:cNvSpPr>
      </xdr:nvSpPr>
      <xdr:spPr bwMode="auto">
        <a:xfrm>
          <a:off x="209550" y="7820025"/>
          <a:ext cx="8820150" cy="2047875"/>
        </a:xfrm>
        <a:prstGeom prst="rect">
          <a:avLst/>
        </a:prstGeom>
        <a:solidFill>
          <a:srgbClr val="CCFFFF"/>
        </a:solidFill>
        <a:ln w="9525">
          <a:miter lim="800000"/>
          <a:headEnd/>
          <a:tailEnd/>
        </a:ln>
        <a:effectLst/>
        <a:scene3d>
          <a:camera prst="legacyObliqueTopLeft"/>
          <a:lightRig rig="legacyFlat3" dir="t"/>
        </a:scene3d>
        <a:sp3d extrusionH="430200" prstMaterial="legacyMatte">
          <a:bevelT w="13500" h="13500" prst="angle"/>
          <a:bevelB w="13500" h="13500" prst="angle"/>
          <a:extrusionClr>
            <a:srgbClr val="CCFFFF"/>
          </a:extrusionClr>
        </a:sp3d>
        <a:extLst/>
      </xdr:spPr>
      <xdr:txBody>
        <a:bodyPr vertOverflow="clip" wrap="square" lIns="36576" tIns="27432" rIns="0" bIns="0" anchor="t" upright="1"/>
        <a:lstStyle/>
        <a:p>
          <a:pPr algn="l" rtl="0">
            <a:lnSpc>
              <a:spcPts val="1400"/>
            </a:lnSpc>
            <a:defRPr sz="1000"/>
          </a:pPr>
          <a:r>
            <a:rPr lang="en-US" sz="1200" b="1" i="0" u="none" strike="noStrike" baseline="0">
              <a:solidFill>
                <a:srgbClr val="000000"/>
              </a:solidFill>
              <a:latin typeface="Arial"/>
              <a:ea typeface="Arial"/>
              <a:cs typeface="Arial"/>
            </a:rPr>
            <a:t>A paired t-test can be used in two circumstances:</a:t>
          </a:r>
          <a:endParaRPr lang="en-US" sz="1200" b="0" i="0" u="none" strike="noStrike" baseline="0">
            <a:solidFill>
              <a:srgbClr val="000000"/>
            </a:solidFill>
            <a:latin typeface="Arial"/>
            <a:ea typeface="Arial"/>
            <a:cs typeface="Arial"/>
          </a:endParaRPr>
        </a:p>
        <a:p>
          <a:pPr algn="l" rtl="0">
            <a:lnSpc>
              <a:spcPts val="1400"/>
            </a:lnSpc>
            <a:defRPr sz="1000"/>
          </a:pPr>
          <a:r>
            <a:rPr lang="en-US" sz="1200" b="0" i="0" u="none" strike="noStrike" baseline="0">
              <a:solidFill>
                <a:srgbClr val="000000"/>
              </a:solidFill>
              <a:latin typeface="Arial"/>
              <a:ea typeface="Arial"/>
              <a:cs typeface="Arial"/>
            </a:rPr>
            <a:t>    1) When doing a "before and after" comparison in each subject or comparing two treatments in each in a clinical trial.</a:t>
          </a:r>
        </a:p>
        <a:p>
          <a:pPr algn="l" rtl="0">
            <a:lnSpc>
              <a:spcPts val="1400"/>
            </a:lnSpc>
            <a:defRPr sz="1000"/>
          </a:pPr>
          <a:r>
            <a:rPr lang="en-US" sz="1200" b="0" i="0" u="none" strike="noStrike" baseline="0">
              <a:solidFill>
                <a:srgbClr val="000000"/>
              </a:solidFill>
              <a:latin typeface="Arial"/>
              <a:ea typeface="Arial"/>
              <a:cs typeface="Arial"/>
            </a:rPr>
            <a:t>    2) In matched case-case control studies it is sometimes possible to make comparisons in pairs. [See the methods section in the case-control study by Herbst et al.: Adenocarcinoma of the vagina: association of maternal stilbesterol therapy with tumor appearance in young women, N. Engl. J. Med 1971; 284:878-883.]</a:t>
          </a:r>
        </a:p>
        <a:p>
          <a:pPr algn="l" rtl="0">
            <a:defRPr sz="1000"/>
          </a:pPr>
          <a:endParaRPr lang="en-US" sz="1200" b="0" i="0" u="none" strike="noStrike" baseline="0">
            <a:solidFill>
              <a:srgbClr val="000000"/>
            </a:solidFill>
            <a:latin typeface="Arial"/>
            <a:ea typeface="Arial"/>
            <a:cs typeface="Arial"/>
          </a:endParaRPr>
        </a:p>
        <a:p>
          <a:pPr algn="l" rtl="0">
            <a:lnSpc>
              <a:spcPts val="1400"/>
            </a:lnSpc>
            <a:defRPr sz="1000"/>
          </a:pPr>
          <a:r>
            <a:rPr lang="en-US" sz="1200" b="0" i="0" u="none" strike="noStrike" baseline="0">
              <a:solidFill>
                <a:srgbClr val="000000"/>
              </a:solidFill>
              <a:latin typeface="Arial"/>
              <a:ea typeface="Arial"/>
              <a:cs typeface="Arial"/>
            </a:rPr>
            <a:t>A paired t-test relies on the following </a:t>
          </a:r>
          <a:r>
            <a:rPr lang="en-US" sz="1200" b="1" i="0" u="none" strike="noStrike" baseline="0">
              <a:solidFill>
                <a:srgbClr val="000000"/>
              </a:solidFill>
              <a:latin typeface="Arial"/>
              <a:ea typeface="Arial"/>
              <a:cs typeface="Arial"/>
            </a:rPr>
            <a:t>assumptions</a:t>
          </a:r>
          <a:r>
            <a:rPr lang="en-US" sz="1200" b="0" i="0" u="none" strike="noStrike" baseline="0">
              <a:solidFill>
                <a:srgbClr val="000000"/>
              </a:solidFill>
              <a:latin typeface="Arial"/>
              <a:ea typeface="Arial"/>
              <a:cs typeface="Arial"/>
            </a:rPr>
            <a:t>:</a:t>
          </a:r>
        </a:p>
        <a:p>
          <a:pPr algn="l" rtl="0">
            <a:defRPr sz="1000"/>
          </a:pPr>
          <a:r>
            <a:rPr lang="en-US" sz="1200" b="0" i="0" u="none" strike="noStrike" baseline="0">
              <a:solidFill>
                <a:srgbClr val="000000"/>
              </a:solidFill>
              <a:latin typeface="Arial"/>
              <a:ea typeface="Arial"/>
              <a:cs typeface="Arial"/>
            </a:rPr>
            <a:t>1) The data are quantitative.</a:t>
          </a:r>
        </a:p>
        <a:p>
          <a:pPr algn="l" rtl="0">
            <a:lnSpc>
              <a:spcPts val="1400"/>
            </a:lnSpc>
            <a:defRPr sz="1000"/>
          </a:pPr>
          <a:r>
            <a:rPr lang="en-US" sz="1200" b="0" i="0" u="none" strike="noStrike" baseline="0">
              <a:solidFill>
                <a:srgbClr val="000000"/>
              </a:solidFill>
              <a:latin typeface="Arial"/>
              <a:ea typeface="Arial"/>
              <a:cs typeface="Arial"/>
            </a:rPr>
            <a:t>2) The differences (e.g. after-before) are normally distributed.</a:t>
          </a:r>
        </a:p>
        <a:p>
          <a:pPr algn="l" rtl="0">
            <a:defRPr sz="1000"/>
          </a:pPr>
          <a:r>
            <a:rPr lang="en-US" sz="1200" b="0" i="0" u="none" strike="noStrike" baseline="0">
              <a:solidFill>
                <a:srgbClr val="000000"/>
              </a:solidFill>
              <a:latin typeface="Arial"/>
              <a:ea typeface="Arial"/>
              <a:cs typeface="Arial"/>
            </a:rPr>
            <a:t>3) The differences are independent of one another. </a:t>
          </a:r>
        </a:p>
        <a:p>
          <a:pPr algn="l" rtl="0">
            <a:lnSpc>
              <a:spcPts val="1400"/>
            </a:lnSpc>
            <a:defRPr sz="1000"/>
          </a:pPr>
          <a:endParaRPr lang="en-US" sz="1200" b="0" i="0" u="none" strike="noStrike" baseline="0">
            <a:solidFill>
              <a:srgbClr val="000000"/>
            </a:solidFill>
            <a:latin typeface="Arial"/>
            <a:ea typeface="Arial"/>
            <a:cs typeface="Arial"/>
          </a:endParaRPr>
        </a:p>
      </xdr:txBody>
    </xdr:sp>
    <xdr:clientData/>
  </xdr:twoCellAnchor>
  <xdr:twoCellAnchor>
    <xdr:from>
      <xdr:col>5</xdr:col>
      <xdr:colOff>300990</xdr:colOff>
      <xdr:row>40</xdr:row>
      <xdr:rowOff>126365</xdr:rowOff>
    </xdr:from>
    <xdr:to>
      <xdr:col>11</xdr:col>
      <xdr:colOff>151794</xdr:colOff>
      <xdr:row>42</xdr:row>
      <xdr:rowOff>122722</xdr:rowOff>
    </xdr:to>
    <xdr:sp macro="" textlink="">
      <xdr:nvSpPr>
        <xdr:cNvPr id="8269" name="Text Box 77"/>
        <xdr:cNvSpPr txBox="1">
          <a:spLocks noChangeArrowheads="1"/>
        </xdr:cNvSpPr>
      </xdr:nvSpPr>
      <xdr:spPr bwMode="auto">
        <a:xfrm>
          <a:off x="3552825" y="7419975"/>
          <a:ext cx="3533775" cy="342900"/>
        </a:xfrm>
        <a:prstGeom prst="rect">
          <a:avLst/>
        </a:prstGeom>
        <a:solidFill>
          <a:srgbClr val="FFFF99"/>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In Excel a paired t-test is specified just like an unpaired t-test, except that the last parameter is set to 1.</a:t>
          </a:r>
        </a:p>
      </xdr:txBody>
    </xdr:sp>
    <xdr:clientData/>
  </xdr:twoCellAnchor>
  <xdr:twoCellAnchor>
    <xdr:from>
      <xdr:col>5</xdr:col>
      <xdr:colOff>30480</xdr:colOff>
      <xdr:row>41</xdr:row>
      <xdr:rowOff>106680</xdr:rowOff>
    </xdr:from>
    <xdr:to>
      <xdr:col>5</xdr:col>
      <xdr:colOff>243840</xdr:colOff>
      <xdr:row>41</xdr:row>
      <xdr:rowOff>106680</xdr:rowOff>
    </xdr:to>
    <xdr:sp macro="" textlink="">
      <xdr:nvSpPr>
        <xdr:cNvPr id="3469094" name="Line 78"/>
        <xdr:cNvSpPr>
          <a:spLocks noChangeShapeType="1"/>
        </xdr:cNvSpPr>
      </xdr:nvSpPr>
      <xdr:spPr bwMode="auto">
        <a:xfrm flipH="1">
          <a:off x="3284220" y="7437120"/>
          <a:ext cx="213360" cy="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586740</xdr:colOff>
      <xdr:row>8</xdr:row>
      <xdr:rowOff>68580</xdr:rowOff>
    </xdr:from>
    <xdr:to>
      <xdr:col>10</xdr:col>
      <xdr:colOff>30480</xdr:colOff>
      <xdr:row>14</xdr:row>
      <xdr:rowOff>68580</xdr:rowOff>
    </xdr:to>
    <xdr:grpSp>
      <xdr:nvGrpSpPr>
        <xdr:cNvPr id="3469095" name="Group 91"/>
        <xdr:cNvGrpSpPr>
          <a:grpSpLocks/>
        </xdr:cNvGrpSpPr>
      </xdr:nvGrpSpPr>
      <xdr:grpSpPr bwMode="auto">
        <a:xfrm>
          <a:off x="6217920" y="1714500"/>
          <a:ext cx="38100" cy="1005840"/>
          <a:chOff x="645" y="173"/>
          <a:chExt cx="4" cy="103"/>
        </a:xfrm>
      </xdr:grpSpPr>
      <xdr:sp macro="" textlink="">
        <xdr:nvSpPr>
          <xdr:cNvPr id="3469107" name="Freeform 81"/>
          <xdr:cNvSpPr>
            <a:spLocks/>
          </xdr:cNvSpPr>
        </xdr:nvSpPr>
        <xdr:spPr bwMode="auto">
          <a:xfrm>
            <a:off x="645" y="179"/>
            <a:ext cx="4" cy="3"/>
          </a:xfrm>
          <a:custGeom>
            <a:avLst/>
            <a:gdLst>
              <a:gd name="T0" fmla="*/ 0 w 60"/>
              <a:gd name="T1" fmla="*/ 0 h 60"/>
              <a:gd name="T2" fmla="*/ 0 w 60"/>
              <a:gd name="T3" fmla="*/ 0 h 60"/>
              <a:gd name="T4" fmla="*/ 0 w 60"/>
              <a:gd name="T5" fmla="*/ 0 h 60"/>
              <a:gd name="T6" fmla="*/ 0 w 60"/>
              <a:gd name="T7" fmla="*/ 0 h 60"/>
              <a:gd name="T8" fmla="*/ 0 w 60"/>
              <a:gd name="T9" fmla="*/ 0 h 60"/>
              <a:gd name="T10" fmla="*/ 0 60000 65536"/>
              <a:gd name="T11" fmla="*/ 0 60000 65536"/>
              <a:gd name="T12" fmla="*/ 0 60000 65536"/>
              <a:gd name="T13" fmla="*/ 0 60000 65536"/>
              <a:gd name="T14" fmla="*/ 0 60000 65536"/>
              <a:gd name="T15" fmla="*/ 0 w 60"/>
              <a:gd name="T16" fmla="*/ 0 h 60"/>
              <a:gd name="T17" fmla="*/ 60 w 60"/>
              <a:gd name="T18" fmla="*/ 60 h 60"/>
            </a:gdLst>
            <a:ahLst/>
            <a:cxnLst>
              <a:cxn ang="T10">
                <a:pos x="T0" y="T1"/>
              </a:cxn>
              <a:cxn ang="T11">
                <a:pos x="T2" y="T3"/>
              </a:cxn>
              <a:cxn ang="T12">
                <a:pos x="T4" y="T5"/>
              </a:cxn>
              <a:cxn ang="T13">
                <a:pos x="T6" y="T7"/>
              </a:cxn>
              <a:cxn ang="T14">
                <a:pos x="T8" y="T9"/>
              </a:cxn>
            </a:cxnLst>
            <a:rect l="T15" t="T16" r="T17" b="T18"/>
            <a:pathLst>
              <a:path w="60" h="60">
                <a:moveTo>
                  <a:pt x="30" y="0"/>
                </a:moveTo>
                <a:lnTo>
                  <a:pt x="60" y="30"/>
                </a:lnTo>
                <a:lnTo>
                  <a:pt x="30" y="60"/>
                </a:lnTo>
                <a:lnTo>
                  <a:pt x="0" y="30"/>
                </a:lnTo>
                <a:lnTo>
                  <a:pt x="30" y="0"/>
                </a:lnTo>
                <a:close/>
              </a:path>
            </a:pathLst>
          </a:custGeom>
          <a:solidFill>
            <a:srgbClr val="FF0000"/>
          </a:solidFill>
          <a:ln w="15875">
            <a:solidFill>
              <a:srgbClr val="FF0000"/>
            </a:solidFill>
            <a:prstDash val="solid"/>
            <a:round/>
            <a:headEnd/>
            <a:tailEnd/>
          </a:ln>
        </xdr:spPr>
      </xdr:sp>
      <xdr:grpSp>
        <xdr:nvGrpSpPr>
          <xdr:cNvPr id="3469108" name="Group 90"/>
          <xdr:cNvGrpSpPr>
            <a:grpSpLocks/>
          </xdr:cNvGrpSpPr>
        </xdr:nvGrpSpPr>
        <xdr:grpSpPr bwMode="auto">
          <a:xfrm>
            <a:off x="645" y="173"/>
            <a:ext cx="4" cy="103"/>
            <a:chOff x="620" y="173"/>
            <a:chExt cx="4" cy="103"/>
          </a:xfrm>
        </xdr:grpSpPr>
        <xdr:sp macro="" textlink="">
          <xdr:nvSpPr>
            <xdr:cNvPr id="3469109" name="Freeform 82"/>
            <xdr:cNvSpPr>
              <a:spLocks/>
            </xdr:cNvSpPr>
          </xdr:nvSpPr>
          <xdr:spPr bwMode="auto">
            <a:xfrm>
              <a:off x="620" y="173"/>
              <a:ext cx="4" cy="3"/>
            </a:xfrm>
            <a:custGeom>
              <a:avLst/>
              <a:gdLst>
                <a:gd name="T0" fmla="*/ 0 w 60"/>
                <a:gd name="T1" fmla="*/ 0 h 60"/>
                <a:gd name="T2" fmla="*/ 0 w 60"/>
                <a:gd name="T3" fmla="*/ 0 h 60"/>
                <a:gd name="T4" fmla="*/ 0 w 60"/>
                <a:gd name="T5" fmla="*/ 0 h 60"/>
                <a:gd name="T6" fmla="*/ 0 w 60"/>
                <a:gd name="T7" fmla="*/ 0 h 60"/>
                <a:gd name="T8" fmla="*/ 0 w 60"/>
                <a:gd name="T9" fmla="*/ 0 h 60"/>
                <a:gd name="T10" fmla="*/ 0 60000 65536"/>
                <a:gd name="T11" fmla="*/ 0 60000 65536"/>
                <a:gd name="T12" fmla="*/ 0 60000 65536"/>
                <a:gd name="T13" fmla="*/ 0 60000 65536"/>
                <a:gd name="T14" fmla="*/ 0 60000 65536"/>
                <a:gd name="T15" fmla="*/ 0 w 60"/>
                <a:gd name="T16" fmla="*/ 0 h 60"/>
                <a:gd name="T17" fmla="*/ 60 w 60"/>
                <a:gd name="T18" fmla="*/ 60 h 60"/>
              </a:gdLst>
              <a:ahLst/>
              <a:cxnLst>
                <a:cxn ang="T10">
                  <a:pos x="T0" y="T1"/>
                </a:cxn>
                <a:cxn ang="T11">
                  <a:pos x="T2" y="T3"/>
                </a:cxn>
                <a:cxn ang="T12">
                  <a:pos x="T4" y="T5"/>
                </a:cxn>
                <a:cxn ang="T13">
                  <a:pos x="T6" y="T7"/>
                </a:cxn>
                <a:cxn ang="T14">
                  <a:pos x="T8" y="T9"/>
                </a:cxn>
              </a:cxnLst>
              <a:rect l="T15" t="T16" r="T17" b="T18"/>
              <a:pathLst>
                <a:path w="60" h="60">
                  <a:moveTo>
                    <a:pt x="30" y="0"/>
                  </a:moveTo>
                  <a:lnTo>
                    <a:pt x="60" y="30"/>
                  </a:lnTo>
                  <a:lnTo>
                    <a:pt x="30" y="60"/>
                  </a:lnTo>
                  <a:lnTo>
                    <a:pt x="0" y="30"/>
                  </a:lnTo>
                  <a:lnTo>
                    <a:pt x="30" y="0"/>
                  </a:lnTo>
                  <a:close/>
                </a:path>
              </a:pathLst>
            </a:custGeom>
            <a:solidFill>
              <a:srgbClr val="FF0000"/>
            </a:solidFill>
            <a:ln w="15875">
              <a:solidFill>
                <a:srgbClr val="FF0000"/>
              </a:solidFill>
              <a:prstDash val="solid"/>
              <a:round/>
              <a:headEnd/>
              <a:tailEnd/>
            </a:ln>
          </xdr:spPr>
        </xdr:sp>
        <xdr:sp macro="" textlink="">
          <xdr:nvSpPr>
            <xdr:cNvPr id="3469110" name="Freeform 83"/>
            <xdr:cNvSpPr>
              <a:spLocks/>
            </xdr:cNvSpPr>
          </xdr:nvSpPr>
          <xdr:spPr bwMode="auto">
            <a:xfrm>
              <a:off x="620" y="189"/>
              <a:ext cx="4" cy="3"/>
            </a:xfrm>
            <a:custGeom>
              <a:avLst/>
              <a:gdLst>
                <a:gd name="T0" fmla="*/ 0 w 60"/>
                <a:gd name="T1" fmla="*/ 0 h 60"/>
                <a:gd name="T2" fmla="*/ 0 w 60"/>
                <a:gd name="T3" fmla="*/ 0 h 60"/>
                <a:gd name="T4" fmla="*/ 0 w 60"/>
                <a:gd name="T5" fmla="*/ 0 h 60"/>
                <a:gd name="T6" fmla="*/ 0 w 60"/>
                <a:gd name="T7" fmla="*/ 0 h 60"/>
                <a:gd name="T8" fmla="*/ 0 w 60"/>
                <a:gd name="T9" fmla="*/ 0 h 60"/>
                <a:gd name="T10" fmla="*/ 0 60000 65536"/>
                <a:gd name="T11" fmla="*/ 0 60000 65536"/>
                <a:gd name="T12" fmla="*/ 0 60000 65536"/>
                <a:gd name="T13" fmla="*/ 0 60000 65536"/>
                <a:gd name="T14" fmla="*/ 0 60000 65536"/>
                <a:gd name="T15" fmla="*/ 0 w 60"/>
                <a:gd name="T16" fmla="*/ 0 h 60"/>
                <a:gd name="T17" fmla="*/ 60 w 60"/>
                <a:gd name="T18" fmla="*/ 60 h 60"/>
              </a:gdLst>
              <a:ahLst/>
              <a:cxnLst>
                <a:cxn ang="T10">
                  <a:pos x="T0" y="T1"/>
                </a:cxn>
                <a:cxn ang="T11">
                  <a:pos x="T2" y="T3"/>
                </a:cxn>
                <a:cxn ang="T12">
                  <a:pos x="T4" y="T5"/>
                </a:cxn>
                <a:cxn ang="T13">
                  <a:pos x="T6" y="T7"/>
                </a:cxn>
                <a:cxn ang="T14">
                  <a:pos x="T8" y="T9"/>
                </a:cxn>
              </a:cxnLst>
              <a:rect l="T15" t="T16" r="T17" b="T18"/>
              <a:pathLst>
                <a:path w="60" h="60">
                  <a:moveTo>
                    <a:pt x="30" y="0"/>
                  </a:moveTo>
                  <a:lnTo>
                    <a:pt x="60" y="30"/>
                  </a:lnTo>
                  <a:lnTo>
                    <a:pt x="30" y="60"/>
                  </a:lnTo>
                  <a:lnTo>
                    <a:pt x="0" y="30"/>
                  </a:lnTo>
                  <a:lnTo>
                    <a:pt x="30" y="0"/>
                  </a:lnTo>
                  <a:close/>
                </a:path>
              </a:pathLst>
            </a:custGeom>
            <a:solidFill>
              <a:srgbClr val="FF0000"/>
            </a:solidFill>
            <a:ln w="15875">
              <a:solidFill>
                <a:srgbClr val="FF0000"/>
              </a:solidFill>
              <a:prstDash val="solid"/>
              <a:round/>
              <a:headEnd/>
              <a:tailEnd/>
            </a:ln>
          </xdr:spPr>
        </xdr:sp>
        <xdr:sp macro="" textlink="">
          <xdr:nvSpPr>
            <xdr:cNvPr id="3469111" name="Freeform 84"/>
            <xdr:cNvSpPr>
              <a:spLocks/>
            </xdr:cNvSpPr>
          </xdr:nvSpPr>
          <xdr:spPr bwMode="auto">
            <a:xfrm>
              <a:off x="620" y="199"/>
              <a:ext cx="4" cy="3"/>
            </a:xfrm>
            <a:custGeom>
              <a:avLst/>
              <a:gdLst>
                <a:gd name="T0" fmla="*/ 0 w 60"/>
                <a:gd name="T1" fmla="*/ 0 h 60"/>
                <a:gd name="T2" fmla="*/ 0 w 60"/>
                <a:gd name="T3" fmla="*/ 0 h 60"/>
                <a:gd name="T4" fmla="*/ 0 w 60"/>
                <a:gd name="T5" fmla="*/ 0 h 60"/>
                <a:gd name="T6" fmla="*/ 0 w 60"/>
                <a:gd name="T7" fmla="*/ 0 h 60"/>
                <a:gd name="T8" fmla="*/ 0 w 60"/>
                <a:gd name="T9" fmla="*/ 0 h 60"/>
                <a:gd name="T10" fmla="*/ 0 60000 65536"/>
                <a:gd name="T11" fmla="*/ 0 60000 65536"/>
                <a:gd name="T12" fmla="*/ 0 60000 65536"/>
                <a:gd name="T13" fmla="*/ 0 60000 65536"/>
                <a:gd name="T14" fmla="*/ 0 60000 65536"/>
                <a:gd name="T15" fmla="*/ 0 w 60"/>
                <a:gd name="T16" fmla="*/ 0 h 60"/>
                <a:gd name="T17" fmla="*/ 60 w 60"/>
                <a:gd name="T18" fmla="*/ 60 h 60"/>
              </a:gdLst>
              <a:ahLst/>
              <a:cxnLst>
                <a:cxn ang="T10">
                  <a:pos x="T0" y="T1"/>
                </a:cxn>
                <a:cxn ang="T11">
                  <a:pos x="T2" y="T3"/>
                </a:cxn>
                <a:cxn ang="T12">
                  <a:pos x="T4" y="T5"/>
                </a:cxn>
                <a:cxn ang="T13">
                  <a:pos x="T6" y="T7"/>
                </a:cxn>
                <a:cxn ang="T14">
                  <a:pos x="T8" y="T9"/>
                </a:cxn>
              </a:cxnLst>
              <a:rect l="T15" t="T16" r="T17" b="T18"/>
              <a:pathLst>
                <a:path w="60" h="60">
                  <a:moveTo>
                    <a:pt x="30" y="0"/>
                  </a:moveTo>
                  <a:lnTo>
                    <a:pt x="60" y="30"/>
                  </a:lnTo>
                  <a:lnTo>
                    <a:pt x="30" y="60"/>
                  </a:lnTo>
                  <a:lnTo>
                    <a:pt x="0" y="30"/>
                  </a:lnTo>
                  <a:lnTo>
                    <a:pt x="30" y="0"/>
                  </a:lnTo>
                  <a:close/>
                </a:path>
              </a:pathLst>
            </a:custGeom>
            <a:solidFill>
              <a:srgbClr val="FF0000"/>
            </a:solidFill>
            <a:ln w="15875">
              <a:solidFill>
                <a:srgbClr val="FF0000"/>
              </a:solidFill>
              <a:prstDash val="solid"/>
              <a:round/>
              <a:headEnd/>
              <a:tailEnd/>
            </a:ln>
          </xdr:spPr>
        </xdr:sp>
        <xdr:sp macro="" textlink="">
          <xdr:nvSpPr>
            <xdr:cNvPr id="3469112" name="Freeform 85"/>
            <xdr:cNvSpPr>
              <a:spLocks/>
            </xdr:cNvSpPr>
          </xdr:nvSpPr>
          <xdr:spPr bwMode="auto">
            <a:xfrm>
              <a:off x="620" y="210"/>
              <a:ext cx="4" cy="3"/>
            </a:xfrm>
            <a:custGeom>
              <a:avLst/>
              <a:gdLst>
                <a:gd name="T0" fmla="*/ 0 w 60"/>
                <a:gd name="T1" fmla="*/ 0 h 60"/>
                <a:gd name="T2" fmla="*/ 0 w 60"/>
                <a:gd name="T3" fmla="*/ 0 h 60"/>
                <a:gd name="T4" fmla="*/ 0 w 60"/>
                <a:gd name="T5" fmla="*/ 0 h 60"/>
                <a:gd name="T6" fmla="*/ 0 w 60"/>
                <a:gd name="T7" fmla="*/ 0 h 60"/>
                <a:gd name="T8" fmla="*/ 0 w 60"/>
                <a:gd name="T9" fmla="*/ 0 h 60"/>
                <a:gd name="T10" fmla="*/ 0 60000 65536"/>
                <a:gd name="T11" fmla="*/ 0 60000 65536"/>
                <a:gd name="T12" fmla="*/ 0 60000 65536"/>
                <a:gd name="T13" fmla="*/ 0 60000 65536"/>
                <a:gd name="T14" fmla="*/ 0 60000 65536"/>
                <a:gd name="T15" fmla="*/ 0 w 60"/>
                <a:gd name="T16" fmla="*/ 0 h 60"/>
                <a:gd name="T17" fmla="*/ 60 w 60"/>
                <a:gd name="T18" fmla="*/ 60 h 60"/>
              </a:gdLst>
              <a:ahLst/>
              <a:cxnLst>
                <a:cxn ang="T10">
                  <a:pos x="T0" y="T1"/>
                </a:cxn>
                <a:cxn ang="T11">
                  <a:pos x="T2" y="T3"/>
                </a:cxn>
                <a:cxn ang="T12">
                  <a:pos x="T4" y="T5"/>
                </a:cxn>
                <a:cxn ang="T13">
                  <a:pos x="T6" y="T7"/>
                </a:cxn>
                <a:cxn ang="T14">
                  <a:pos x="T8" y="T9"/>
                </a:cxn>
              </a:cxnLst>
              <a:rect l="T15" t="T16" r="T17" b="T18"/>
              <a:pathLst>
                <a:path w="60" h="60">
                  <a:moveTo>
                    <a:pt x="30" y="0"/>
                  </a:moveTo>
                  <a:lnTo>
                    <a:pt x="60" y="30"/>
                  </a:lnTo>
                  <a:lnTo>
                    <a:pt x="30" y="60"/>
                  </a:lnTo>
                  <a:lnTo>
                    <a:pt x="0" y="30"/>
                  </a:lnTo>
                  <a:lnTo>
                    <a:pt x="30" y="0"/>
                  </a:lnTo>
                  <a:close/>
                </a:path>
              </a:pathLst>
            </a:custGeom>
            <a:solidFill>
              <a:srgbClr val="FF0000"/>
            </a:solidFill>
            <a:ln w="15875">
              <a:solidFill>
                <a:srgbClr val="FF0000"/>
              </a:solidFill>
              <a:prstDash val="solid"/>
              <a:round/>
              <a:headEnd/>
              <a:tailEnd/>
            </a:ln>
          </xdr:spPr>
        </xdr:sp>
        <xdr:sp macro="" textlink="">
          <xdr:nvSpPr>
            <xdr:cNvPr id="3469113" name="Freeform 86"/>
            <xdr:cNvSpPr>
              <a:spLocks/>
            </xdr:cNvSpPr>
          </xdr:nvSpPr>
          <xdr:spPr bwMode="auto">
            <a:xfrm>
              <a:off x="620" y="224"/>
              <a:ext cx="4" cy="3"/>
            </a:xfrm>
            <a:custGeom>
              <a:avLst/>
              <a:gdLst>
                <a:gd name="T0" fmla="*/ 0 w 60"/>
                <a:gd name="T1" fmla="*/ 0 h 60"/>
                <a:gd name="T2" fmla="*/ 0 w 60"/>
                <a:gd name="T3" fmla="*/ 0 h 60"/>
                <a:gd name="T4" fmla="*/ 0 w 60"/>
                <a:gd name="T5" fmla="*/ 0 h 60"/>
                <a:gd name="T6" fmla="*/ 0 w 60"/>
                <a:gd name="T7" fmla="*/ 0 h 60"/>
                <a:gd name="T8" fmla="*/ 0 w 60"/>
                <a:gd name="T9" fmla="*/ 0 h 60"/>
                <a:gd name="T10" fmla="*/ 0 60000 65536"/>
                <a:gd name="T11" fmla="*/ 0 60000 65536"/>
                <a:gd name="T12" fmla="*/ 0 60000 65536"/>
                <a:gd name="T13" fmla="*/ 0 60000 65536"/>
                <a:gd name="T14" fmla="*/ 0 60000 65536"/>
                <a:gd name="T15" fmla="*/ 0 w 60"/>
                <a:gd name="T16" fmla="*/ 0 h 60"/>
                <a:gd name="T17" fmla="*/ 60 w 60"/>
                <a:gd name="T18" fmla="*/ 60 h 60"/>
              </a:gdLst>
              <a:ahLst/>
              <a:cxnLst>
                <a:cxn ang="T10">
                  <a:pos x="T0" y="T1"/>
                </a:cxn>
                <a:cxn ang="T11">
                  <a:pos x="T2" y="T3"/>
                </a:cxn>
                <a:cxn ang="T12">
                  <a:pos x="T4" y="T5"/>
                </a:cxn>
                <a:cxn ang="T13">
                  <a:pos x="T6" y="T7"/>
                </a:cxn>
                <a:cxn ang="T14">
                  <a:pos x="T8" y="T9"/>
                </a:cxn>
              </a:cxnLst>
              <a:rect l="T15" t="T16" r="T17" b="T18"/>
              <a:pathLst>
                <a:path w="60" h="60">
                  <a:moveTo>
                    <a:pt x="30" y="0"/>
                  </a:moveTo>
                  <a:lnTo>
                    <a:pt x="60" y="30"/>
                  </a:lnTo>
                  <a:lnTo>
                    <a:pt x="30" y="60"/>
                  </a:lnTo>
                  <a:lnTo>
                    <a:pt x="0" y="30"/>
                  </a:lnTo>
                  <a:lnTo>
                    <a:pt x="30" y="0"/>
                  </a:lnTo>
                  <a:close/>
                </a:path>
              </a:pathLst>
            </a:custGeom>
            <a:solidFill>
              <a:srgbClr val="FF0000"/>
            </a:solidFill>
            <a:ln w="15875">
              <a:solidFill>
                <a:srgbClr val="FF0000"/>
              </a:solidFill>
              <a:prstDash val="solid"/>
              <a:round/>
              <a:headEnd/>
              <a:tailEnd/>
            </a:ln>
          </xdr:spPr>
        </xdr:sp>
        <xdr:sp macro="" textlink="">
          <xdr:nvSpPr>
            <xdr:cNvPr id="3469114" name="Freeform 87"/>
            <xdr:cNvSpPr>
              <a:spLocks/>
            </xdr:cNvSpPr>
          </xdr:nvSpPr>
          <xdr:spPr bwMode="auto">
            <a:xfrm>
              <a:off x="620" y="238"/>
              <a:ext cx="4" cy="3"/>
            </a:xfrm>
            <a:custGeom>
              <a:avLst/>
              <a:gdLst>
                <a:gd name="T0" fmla="*/ 0 w 60"/>
                <a:gd name="T1" fmla="*/ 0 h 60"/>
                <a:gd name="T2" fmla="*/ 0 w 60"/>
                <a:gd name="T3" fmla="*/ 0 h 60"/>
                <a:gd name="T4" fmla="*/ 0 w 60"/>
                <a:gd name="T5" fmla="*/ 0 h 60"/>
                <a:gd name="T6" fmla="*/ 0 w 60"/>
                <a:gd name="T7" fmla="*/ 0 h 60"/>
                <a:gd name="T8" fmla="*/ 0 w 60"/>
                <a:gd name="T9" fmla="*/ 0 h 60"/>
                <a:gd name="T10" fmla="*/ 0 60000 65536"/>
                <a:gd name="T11" fmla="*/ 0 60000 65536"/>
                <a:gd name="T12" fmla="*/ 0 60000 65536"/>
                <a:gd name="T13" fmla="*/ 0 60000 65536"/>
                <a:gd name="T14" fmla="*/ 0 60000 65536"/>
                <a:gd name="T15" fmla="*/ 0 w 60"/>
                <a:gd name="T16" fmla="*/ 0 h 60"/>
                <a:gd name="T17" fmla="*/ 60 w 60"/>
                <a:gd name="T18" fmla="*/ 60 h 60"/>
              </a:gdLst>
              <a:ahLst/>
              <a:cxnLst>
                <a:cxn ang="T10">
                  <a:pos x="T0" y="T1"/>
                </a:cxn>
                <a:cxn ang="T11">
                  <a:pos x="T2" y="T3"/>
                </a:cxn>
                <a:cxn ang="T12">
                  <a:pos x="T4" y="T5"/>
                </a:cxn>
                <a:cxn ang="T13">
                  <a:pos x="T6" y="T7"/>
                </a:cxn>
                <a:cxn ang="T14">
                  <a:pos x="T8" y="T9"/>
                </a:cxn>
              </a:cxnLst>
              <a:rect l="T15" t="T16" r="T17" b="T18"/>
              <a:pathLst>
                <a:path w="60" h="60">
                  <a:moveTo>
                    <a:pt x="30" y="0"/>
                  </a:moveTo>
                  <a:lnTo>
                    <a:pt x="60" y="30"/>
                  </a:lnTo>
                  <a:lnTo>
                    <a:pt x="30" y="60"/>
                  </a:lnTo>
                  <a:lnTo>
                    <a:pt x="0" y="30"/>
                  </a:lnTo>
                  <a:lnTo>
                    <a:pt x="30" y="0"/>
                  </a:lnTo>
                  <a:close/>
                </a:path>
              </a:pathLst>
            </a:custGeom>
            <a:solidFill>
              <a:srgbClr val="FF0000"/>
            </a:solidFill>
            <a:ln w="15875">
              <a:solidFill>
                <a:srgbClr val="FF0000"/>
              </a:solidFill>
              <a:prstDash val="solid"/>
              <a:round/>
              <a:headEnd/>
              <a:tailEnd/>
            </a:ln>
          </xdr:spPr>
        </xdr:sp>
        <xdr:sp macro="" textlink="">
          <xdr:nvSpPr>
            <xdr:cNvPr id="3469115" name="Freeform 88"/>
            <xdr:cNvSpPr>
              <a:spLocks/>
            </xdr:cNvSpPr>
          </xdr:nvSpPr>
          <xdr:spPr bwMode="auto">
            <a:xfrm>
              <a:off x="620" y="253"/>
              <a:ext cx="4" cy="3"/>
            </a:xfrm>
            <a:custGeom>
              <a:avLst/>
              <a:gdLst>
                <a:gd name="T0" fmla="*/ 0 w 60"/>
                <a:gd name="T1" fmla="*/ 0 h 60"/>
                <a:gd name="T2" fmla="*/ 0 w 60"/>
                <a:gd name="T3" fmla="*/ 0 h 60"/>
                <a:gd name="T4" fmla="*/ 0 w 60"/>
                <a:gd name="T5" fmla="*/ 0 h 60"/>
                <a:gd name="T6" fmla="*/ 0 w 60"/>
                <a:gd name="T7" fmla="*/ 0 h 60"/>
                <a:gd name="T8" fmla="*/ 0 w 60"/>
                <a:gd name="T9" fmla="*/ 0 h 60"/>
                <a:gd name="T10" fmla="*/ 0 60000 65536"/>
                <a:gd name="T11" fmla="*/ 0 60000 65536"/>
                <a:gd name="T12" fmla="*/ 0 60000 65536"/>
                <a:gd name="T13" fmla="*/ 0 60000 65536"/>
                <a:gd name="T14" fmla="*/ 0 60000 65536"/>
                <a:gd name="T15" fmla="*/ 0 w 60"/>
                <a:gd name="T16" fmla="*/ 0 h 60"/>
                <a:gd name="T17" fmla="*/ 60 w 60"/>
                <a:gd name="T18" fmla="*/ 60 h 60"/>
              </a:gdLst>
              <a:ahLst/>
              <a:cxnLst>
                <a:cxn ang="T10">
                  <a:pos x="T0" y="T1"/>
                </a:cxn>
                <a:cxn ang="T11">
                  <a:pos x="T2" y="T3"/>
                </a:cxn>
                <a:cxn ang="T12">
                  <a:pos x="T4" y="T5"/>
                </a:cxn>
                <a:cxn ang="T13">
                  <a:pos x="T6" y="T7"/>
                </a:cxn>
                <a:cxn ang="T14">
                  <a:pos x="T8" y="T9"/>
                </a:cxn>
              </a:cxnLst>
              <a:rect l="T15" t="T16" r="T17" b="T18"/>
              <a:pathLst>
                <a:path w="60" h="60">
                  <a:moveTo>
                    <a:pt x="30" y="0"/>
                  </a:moveTo>
                  <a:lnTo>
                    <a:pt x="60" y="30"/>
                  </a:lnTo>
                  <a:lnTo>
                    <a:pt x="30" y="60"/>
                  </a:lnTo>
                  <a:lnTo>
                    <a:pt x="0" y="30"/>
                  </a:lnTo>
                  <a:lnTo>
                    <a:pt x="30" y="0"/>
                  </a:lnTo>
                  <a:close/>
                </a:path>
              </a:pathLst>
            </a:custGeom>
            <a:solidFill>
              <a:srgbClr val="FF0000"/>
            </a:solidFill>
            <a:ln w="15875">
              <a:solidFill>
                <a:srgbClr val="FF0000"/>
              </a:solidFill>
              <a:prstDash val="solid"/>
              <a:round/>
              <a:headEnd/>
              <a:tailEnd/>
            </a:ln>
          </xdr:spPr>
        </xdr:sp>
        <xdr:sp macro="" textlink="">
          <xdr:nvSpPr>
            <xdr:cNvPr id="3469116" name="Freeform 89"/>
            <xdr:cNvSpPr>
              <a:spLocks/>
            </xdr:cNvSpPr>
          </xdr:nvSpPr>
          <xdr:spPr bwMode="auto">
            <a:xfrm>
              <a:off x="620" y="273"/>
              <a:ext cx="4" cy="3"/>
            </a:xfrm>
            <a:custGeom>
              <a:avLst/>
              <a:gdLst>
                <a:gd name="T0" fmla="*/ 0 w 60"/>
                <a:gd name="T1" fmla="*/ 0 h 60"/>
                <a:gd name="T2" fmla="*/ 0 w 60"/>
                <a:gd name="T3" fmla="*/ 0 h 60"/>
                <a:gd name="T4" fmla="*/ 0 w 60"/>
                <a:gd name="T5" fmla="*/ 0 h 60"/>
                <a:gd name="T6" fmla="*/ 0 w 60"/>
                <a:gd name="T7" fmla="*/ 0 h 60"/>
                <a:gd name="T8" fmla="*/ 0 w 60"/>
                <a:gd name="T9" fmla="*/ 0 h 60"/>
                <a:gd name="T10" fmla="*/ 0 60000 65536"/>
                <a:gd name="T11" fmla="*/ 0 60000 65536"/>
                <a:gd name="T12" fmla="*/ 0 60000 65536"/>
                <a:gd name="T13" fmla="*/ 0 60000 65536"/>
                <a:gd name="T14" fmla="*/ 0 60000 65536"/>
                <a:gd name="T15" fmla="*/ 0 w 60"/>
                <a:gd name="T16" fmla="*/ 0 h 60"/>
                <a:gd name="T17" fmla="*/ 60 w 60"/>
                <a:gd name="T18" fmla="*/ 60 h 60"/>
              </a:gdLst>
              <a:ahLst/>
              <a:cxnLst>
                <a:cxn ang="T10">
                  <a:pos x="T0" y="T1"/>
                </a:cxn>
                <a:cxn ang="T11">
                  <a:pos x="T2" y="T3"/>
                </a:cxn>
                <a:cxn ang="T12">
                  <a:pos x="T4" y="T5"/>
                </a:cxn>
                <a:cxn ang="T13">
                  <a:pos x="T6" y="T7"/>
                </a:cxn>
                <a:cxn ang="T14">
                  <a:pos x="T8" y="T9"/>
                </a:cxn>
              </a:cxnLst>
              <a:rect l="T15" t="T16" r="T17" b="T18"/>
              <a:pathLst>
                <a:path w="60" h="60">
                  <a:moveTo>
                    <a:pt x="30" y="0"/>
                  </a:moveTo>
                  <a:lnTo>
                    <a:pt x="60" y="30"/>
                  </a:lnTo>
                  <a:lnTo>
                    <a:pt x="30" y="60"/>
                  </a:lnTo>
                  <a:lnTo>
                    <a:pt x="0" y="30"/>
                  </a:lnTo>
                  <a:lnTo>
                    <a:pt x="30" y="0"/>
                  </a:lnTo>
                  <a:close/>
                </a:path>
              </a:pathLst>
            </a:custGeom>
            <a:solidFill>
              <a:srgbClr val="FF0000"/>
            </a:solidFill>
            <a:ln w="15875">
              <a:solidFill>
                <a:srgbClr val="FF0000"/>
              </a:solidFill>
              <a:prstDash val="solid"/>
              <a:round/>
              <a:headEnd/>
              <a:tailEnd/>
            </a:ln>
          </xdr:spPr>
        </xdr:sp>
      </xdr:grpSp>
    </xdr:grpSp>
    <xdr:clientData/>
  </xdr:twoCellAnchor>
  <xdr:twoCellAnchor>
    <xdr:from>
      <xdr:col>12</xdr:col>
      <xdr:colOff>91440</xdr:colOff>
      <xdr:row>24</xdr:row>
      <xdr:rowOff>0</xdr:rowOff>
    </xdr:from>
    <xdr:to>
      <xdr:col>12</xdr:col>
      <xdr:colOff>114300</xdr:colOff>
      <xdr:row>29</xdr:row>
      <xdr:rowOff>53340</xdr:rowOff>
    </xdr:to>
    <xdr:grpSp>
      <xdr:nvGrpSpPr>
        <xdr:cNvPr id="3469096" name="Group 92"/>
        <xdr:cNvGrpSpPr>
          <a:grpSpLocks/>
        </xdr:cNvGrpSpPr>
      </xdr:nvGrpSpPr>
      <xdr:grpSpPr bwMode="auto">
        <a:xfrm>
          <a:off x="7505700" y="4358640"/>
          <a:ext cx="22860" cy="922020"/>
          <a:chOff x="645" y="173"/>
          <a:chExt cx="4" cy="103"/>
        </a:xfrm>
      </xdr:grpSpPr>
      <xdr:sp macro="" textlink="">
        <xdr:nvSpPr>
          <xdr:cNvPr id="3469097" name="Freeform 93"/>
          <xdr:cNvSpPr>
            <a:spLocks/>
          </xdr:cNvSpPr>
        </xdr:nvSpPr>
        <xdr:spPr bwMode="auto">
          <a:xfrm>
            <a:off x="645" y="179"/>
            <a:ext cx="4" cy="3"/>
          </a:xfrm>
          <a:custGeom>
            <a:avLst/>
            <a:gdLst>
              <a:gd name="T0" fmla="*/ 0 w 60"/>
              <a:gd name="T1" fmla="*/ 0 h 60"/>
              <a:gd name="T2" fmla="*/ 0 w 60"/>
              <a:gd name="T3" fmla="*/ 0 h 60"/>
              <a:gd name="T4" fmla="*/ 0 w 60"/>
              <a:gd name="T5" fmla="*/ 0 h 60"/>
              <a:gd name="T6" fmla="*/ 0 w 60"/>
              <a:gd name="T7" fmla="*/ 0 h 60"/>
              <a:gd name="T8" fmla="*/ 0 w 60"/>
              <a:gd name="T9" fmla="*/ 0 h 60"/>
              <a:gd name="T10" fmla="*/ 0 60000 65536"/>
              <a:gd name="T11" fmla="*/ 0 60000 65536"/>
              <a:gd name="T12" fmla="*/ 0 60000 65536"/>
              <a:gd name="T13" fmla="*/ 0 60000 65536"/>
              <a:gd name="T14" fmla="*/ 0 60000 65536"/>
              <a:gd name="T15" fmla="*/ 0 w 60"/>
              <a:gd name="T16" fmla="*/ 0 h 60"/>
              <a:gd name="T17" fmla="*/ 60 w 60"/>
              <a:gd name="T18" fmla="*/ 60 h 60"/>
            </a:gdLst>
            <a:ahLst/>
            <a:cxnLst>
              <a:cxn ang="T10">
                <a:pos x="T0" y="T1"/>
              </a:cxn>
              <a:cxn ang="T11">
                <a:pos x="T2" y="T3"/>
              </a:cxn>
              <a:cxn ang="T12">
                <a:pos x="T4" y="T5"/>
              </a:cxn>
              <a:cxn ang="T13">
                <a:pos x="T6" y="T7"/>
              </a:cxn>
              <a:cxn ang="T14">
                <a:pos x="T8" y="T9"/>
              </a:cxn>
            </a:cxnLst>
            <a:rect l="T15" t="T16" r="T17" b="T18"/>
            <a:pathLst>
              <a:path w="60" h="60">
                <a:moveTo>
                  <a:pt x="30" y="0"/>
                </a:moveTo>
                <a:lnTo>
                  <a:pt x="60" y="30"/>
                </a:lnTo>
                <a:lnTo>
                  <a:pt x="30" y="60"/>
                </a:lnTo>
                <a:lnTo>
                  <a:pt x="0" y="30"/>
                </a:lnTo>
                <a:lnTo>
                  <a:pt x="30" y="0"/>
                </a:lnTo>
                <a:close/>
              </a:path>
            </a:pathLst>
          </a:custGeom>
          <a:solidFill>
            <a:srgbClr val="FF0000"/>
          </a:solidFill>
          <a:ln w="15875">
            <a:solidFill>
              <a:srgbClr val="FF0000"/>
            </a:solidFill>
            <a:prstDash val="solid"/>
            <a:round/>
            <a:headEnd/>
            <a:tailEnd/>
          </a:ln>
        </xdr:spPr>
      </xdr:sp>
      <xdr:grpSp>
        <xdr:nvGrpSpPr>
          <xdr:cNvPr id="3469098" name="Group 94"/>
          <xdr:cNvGrpSpPr>
            <a:grpSpLocks/>
          </xdr:cNvGrpSpPr>
        </xdr:nvGrpSpPr>
        <xdr:grpSpPr bwMode="auto">
          <a:xfrm>
            <a:off x="645" y="173"/>
            <a:ext cx="4" cy="103"/>
            <a:chOff x="620" y="173"/>
            <a:chExt cx="4" cy="103"/>
          </a:xfrm>
        </xdr:grpSpPr>
        <xdr:sp macro="" textlink="">
          <xdr:nvSpPr>
            <xdr:cNvPr id="3469099" name="Freeform 95"/>
            <xdr:cNvSpPr>
              <a:spLocks/>
            </xdr:cNvSpPr>
          </xdr:nvSpPr>
          <xdr:spPr bwMode="auto">
            <a:xfrm>
              <a:off x="620" y="173"/>
              <a:ext cx="4" cy="3"/>
            </a:xfrm>
            <a:custGeom>
              <a:avLst/>
              <a:gdLst>
                <a:gd name="T0" fmla="*/ 0 w 60"/>
                <a:gd name="T1" fmla="*/ 0 h 60"/>
                <a:gd name="T2" fmla="*/ 0 w 60"/>
                <a:gd name="T3" fmla="*/ 0 h 60"/>
                <a:gd name="T4" fmla="*/ 0 w 60"/>
                <a:gd name="T5" fmla="*/ 0 h 60"/>
                <a:gd name="T6" fmla="*/ 0 w 60"/>
                <a:gd name="T7" fmla="*/ 0 h 60"/>
                <a:gd name="T8" fmla="*/ 0 w 60"/>
                <a:gd name="T9" fmla="*/ 0 h 60"/>
                <a:gd name="T10" fmla="*/ 0 60000 65536"/>
                <a:gd name="T11" fmla="*/ 0 60000 65536"/>
                <a:gd name="T12" fmla="*/ 0 60000 65536"/>
                <a:gd name="T13" fmla="*/ 0 60000 65536"/>
                <a:gd name="T14" fmla="*/ 0 60000 65536"/>
                <a:gd name="T15" fmla="*/ 0 w 60"/>
                <a:gd name="T16" fmla="*/ 0 h 60"/>
                <a:gd name="T17" fmla="*/ 60 w 60"/>
                <a:gd name="T18" fmla="*/ 60 h 60"/>
              </a:gdLst>
              <a:ahLst/>
              <a:cxnLst>
                <a:cxn ang="T10">
                  <a:pos x="T0" y="T1"/>
                </a:cxn>
                <a:cxn ang="T11">
                  <a:pos x="T2" y="T3"/>
                </a:cxn>
                <a:cxn ang="T12">
                  <a:pos x="T4" y="T5"/>
                </a:cxn>
                <a:cxn ang="T13">
                  <a:pos x="T6" y="T7"/>
                </a:cxn>
                <a:cxn ang="T14">
                  <a:pos x="T8" y="T9"/>
                </a:cxn>
              </a:cxnLst>
              <a:rect l="T15" t="T16" r="T17" b="T18"/>
              <a:pathLst>
                <a:path w="60" h="60">
                  <a:moveTo>
                    <a:pt x="30" y="0"/>
                  </a:moveTo>
                  <a:lnTo>
                    <a:pt x="60" y="30"/>
                  </a:lnTo>
                  <a:lnTo>
                    <a:pt x="30" y="60"/>
                  </a:lnTo>
                  <a:lnTo>
                    <a:pt x="0" y="30"/>
                  </a:lnTo>
                  <a:lnTo>
                    <a:pt x="30" y="0"/>
                  </a:lnTo>
                  <a:close/>
                </a:path>
              </a:pathLst>
            </a:custGeom>
            <a:solidFill>
              <a:srgbClr val="FF0000"/>
            </a:solidFill>
            <a:ln w="15875">
              <a:solidFill>
                <a:srgbClr val="FF0000"/>
              </a:solidFill>
              <a:prstDash val="solid"/>
              <a:round/>
              <a:headEnd/>
              <a:tailEnd/>
            </a:ln>
          </xdr:spPr>
        </xdr:sp>
        <xdr:sp macro="" textlink="">
          <xdr:nvSpPr>
            <xdr:cNvPr id="3469100" name="Freeform 96"/>
            <xdr:cNvSpPr>
              <a:spLocks/>
            </xdr:cNvSpPr>
          </xdr:nvSpPr>
          <xdr:spPr bwMode="auto">
            <a:xfrm>
              <a:off x="620" y="189"/>
              <a:ext cx="4" cy="3"/>
            </a:xfrm>
            <a:custGeom>
              <a:avLst/>
              <a:gdLst>
                <a:gd name="T0" fmla="*/ 0 w 60"/>
                <a:gd name="T1" fmla="*/ 0 h 60"/>
                <a:gd name="T2" fmla="*/ 0 w 60"/>
                <a:gd name="T3" fmla="*/ 0 h 60"/>
                <a:gd name="T4" fmla="*/ 0 w 60"/>
                <a:gd name="T5" fmla="*/ 0 h 60"/>
                <a:gd name="T6" fmla="*/ 0 w 60"/>
                <a:gd name="T7" fmla="*/ 0 h 60"/>
                <a:gd name="T8" fmla="*/ 0 w 60"/>
                <a:gd name="T9" fmla="*/ 0 h 60"/>
                <a:gd name="T10" fmla="*/ 0 60000 65536"/>
                <a:gd name="T11" fmla="*/ 0 60000 65536"/>
                <a:gd name="T12" fmla="*/ 0 60000 65536"/>
                <a:gd name="T13" fmla="*/ 0 60000 65536"/>
                <a:gd name="T14" fmla="*/ 0 60000 65536"/>
                <a:gd name="T15" fmla="*/ 0 w 60"/>
                <a:gd name="T16" fmla="*/ 0 h 60"/>
                <a:gd name="T17" fmla="*/ 60 w 60"/>
                <a:gd name="T18" fmla="*/ 60 h 60"/>
              </a:gdLst>
              <a:ahLst/>
              <a:cxnLst>
                <a:cxn ang="T10">
                  <a:pos x="T0" y="T1"/>
                </a:cxn>
                <a:cxn ang="T11">
                  <a:pos x="T2" y="T3"/>
                </a:cxn>
                <a:cxn ang="T12">
                  <a:pos x="T4" y="T5"/>
                </a:cxn>
                <a:cxn ang="T13">
                  <a:pos x="T6" y="T7"/>
                </a:cxn>
                <a:cxn ang="T14">
                  <a:pos x="T8" y="T9"/>
                </a:cxn>
              </a:cxnLst>
              <a:rect l="T15" t="T16" r="T17" b="T18"/>
              <a:pathLst>
                <a:path w="60" h="60">
                  <a:moveTo>
                    <a:pt x="30" y="0"/>
                  </a:moveTo>
                  <a:lnTo>
                    <a:pt x="60" y="30"/>
                  </a:lnTo>
                  <a:lnTo>
                    <a:pt x="30" y="60"/>
                  </a:lnTo>
                  <a:lnTo>
                    <a:pt x="0" y="30"/>
                  </a:lnTo>
                  <a:lnTo>
                    <a:pt x="30" y="0"/>
                  </a:lnTo>
                  <a:close/>
                </a:path>
              </a:pathLst>
            </a:custGeom>
            <a:solidFill>
              <a:srgbClr val="FF0000"/>
            </a:solidFill>
            <a:ln w="15875">
              <a:solidFill>
                <a:srgbClr val="FF0000"/>
              </a:solidFill>
              <a:prstDash val="solid"/>
              <a:round/>
              <a:headEnd/>
              <a:tailEnd/>
            </a:ln>
          </xdr:spPr>
        </xdr:sp>
        <xdr:sp macro="" textlink="">
          <xdr:nvSpPr>
            <xdr:cNvPr id="3469101" name="Freeform 97"/>
            <xdr:cNvSpPr>
              <a:spLocks/>
            </xdr:cNvSpPr>
          </xdr:nvSpPr>
          <xdr:spPr bwMode="auto">
            <a:xfrm>
              <a:off x="620" y="199"/>
              <a:ext cx="4" cy="3"/>
            </a:xfrm>
            <a:custGeom>
              <a:avLst/>
              <a:gdLst>
                <a:gd name="T0" fmla="*/ 0 w 60"/>
                <a:gd name="T1" fmla="*/ 0 h 60"/>
                <a:gd name="T2" fmla="*/ 0 w 60"/>
                <a:gd name="T3" fmla="*/ 0 h 60"/>
                <a:gd name="T4" fmla="*/ 0 w 60"/>
                <a:gd name="T5" fmla="*/ 0 h 60"/>
                <a:gd name="T6" fmla="*/ 0 w 60"/>
                <a:gd name="T7" fmla="*/ 0 h 60"/>
                <a:gd name="T8" fmla="*/ 0 w 60"/>
                <a:gd name="T9" fmla="*/ 0 h 60"/>
                <a:gd name="T10" fmla="*/ 0 60000 65536"/>
                <a:gd name="T11" fmla="*/ 0 60000 65536"/>
                <a:gd name="T12" fmla="*/ 0 60000 65536"/>
                <a:gd name="T13" fmla="*/ 0 60000 65536"/>
                <a:gd name="T14" fmla="*/ 0 60000 65536"/>
                <a:gd name="T15" fmla="*/ 0 w 60"/>
                <a:gd name="T16" fmla="*/ 0 h 60"/>
                <a:gd name="T17" fmla="*/ 60 w 60"/>
                <a:gd name="T18" fmla="*/ 60 h 60"/>
              </a:gdLst>
              <a:ahLst/>
              <a:cxnLst>
                <a:cxn ang="T10">
                  <a:pos x="T0" y="T1"/>
                </a:cxn>
                <a:cxn ang="T11">
                  <a:pos x="T2" y="T3"/>
                </a:cxn>
                <a:cxn ang="T12">
                  <a:pos x="T4" y="T5"/>
                </a:cxn>
                <a:cxn ang="T13">
                  <a:pos x="T6" y="T7"/>
                </a:cxn>
                <a:cxn ang="T14">
                  <a:pos x="T8" y="T9"/>
                </a:cxn>
              </a:cxnLst>
              <a:rect l="T15" t="T16" r="T17" b="T18"/>
              <a:pathLst>
                <a:path w="60" h="60">
                  <a:moveTo>
                    <a:pt x="30" y="0"/>
                  </a:moveTo>
                  <a:lnTo>
                    <a:pt x="60" y="30"/>
                  </a:lnTo>
                  <a:lnTo>
                    <a:pt x="30" y="60"/>
                  </a:lnTo>
                  <a:lnTo>
                    <a:pt x="0" y="30"/>
                  </a:lnTo>
                  <a:lnTo>
                    <a:pt x="30" y="0"/>
                  </a:lnTo>
                  <a:close/>
                </a:path>
              </a:pathLst>
            </a:custGeom>
            <a:solidFill>
              <a:srgbClr val="FF0000"/>
            </a:solidFill>
            <a:ln w="15875">
              <a:solidFill>
                <a:srgbClr val="FF0000"/>
              </a:solidFill>
              <a:prstDash val="solid"/>
              <a:round/>
              <a:headEnd/>
              <a:tailEnd/>
            </a:ln>
          </xdr:spPr>
        </xdr:sp>
        <xdr:sp macro="" textlink="">
          <xdr:nvSpPr>
            <xdr:cNvPr id="3469102" name="Freeform 98"/>
            <xdr:cNvSpPr>
              <a:spLocks/>
            </xdr:cNvSpPr>
          </xdr:nvSpPr>
          <xdr:spPr bwMode="auto">
            <a:xfrm>
              <a:off x="620" y="210"/>
              <a:ext cx="4" cy="3"/>
            </a:xfrm>
            <a:custGeom>
              <a:avLst/>
              <a:gdLst>
                <a:gd name="T0" fmla="*/ 0 w 60"/>
                <a:gd name="T1" fmla="*/ 0 h 60"/>
                <a:gd name="T2" fmla="*/ 0 w 60"/>
                <a:gd name="T3" fmla="*/ 0 h 60"/>
                <a:gd name="T4" fmla="*/ 0 w 60"/>
                <a:gd name="T5" fmla="*/ 0 h 60"/>
                <a:gd name="T6" fmla="*/ 0 w 60"/>
                <a:gd name="T7" fmla="*/ 0 h 60"/>
                <a:gd name="T8" fmla="*/ 0 w 60"/>
                <a:gd name="T9" fmla="*/ 0 h 60"/>
                <a:gd name="T10" fmla="*/ 0 60000 65536"/>
                <a:gd name="T11" fmla="*/ 0 60000 65536"/>
                <a:gd name="T12" fmla="*/ 0 60000 65536"/>
                <a:gd name="T13" fmla="*/ 0 60000 65536"/>
                <a:gd name="T14" fmla="*/ 0 60000 65536"/>
                <a:gd name="T15" fmla="*/ 0 w 60"/>
                <a:gd name="T16" fmla="*/ 0 h 60"/>
                <a:gd name="T17" fmla="*/ 60 w 60"/>
                <a:gd name="T18" fmla="*/ 60 h 60"/>
              </a:gdLst>
              <a:ahLst/>
              <a:cxnLst>
                <a:cxn ang="T10">
                  <a:pos x="T0" y="T1"/>
                </a:cxn>
                <a:cxn ang="T11">
                  <a:pos x="T2" y="T3"/>
                </a:cxn>
                <a:cxn ang="T12">
                  <a:pos x="T4" y="T5"/>
                </a:cxn>
                <a:cxn ang="T13">
                  <a:pos x="T6" y="T7"/>
                </a:cxn>
                <a:cxn ang="T14">
                  <a:pos x="T8" y="T9"/>
                </a:cxn>
              </a:cxnLst>
              <a:rect l="T15" t="T16" r="T17" b="T18"/>
              <a:pathLst>
                <a:path w="60" h="60">
                  <a:moveTo>
                    <a:pt x="30" y="0"/>
                  </a:moveTo>
                  <a:lnTo>
                    <a:pt x="60" y="30"/>
                  </a:lnTo>
                  <a:lnTo>
                    <a:pt x="30" y="60"/>
                  </a:lnTo>
                  <a:lnTo>
                    <a:pt x="0" y="30"/>
                  </a:lnTo>
                  <a:lnTo>
                    <a:pt x="30" y="0"/>
                  </a:lnTo>
                  <a:close/>
                </a:path>
              </a:pathLst>
            </a:custGeom>
            <a:solidFill>
              <a:srgbClr val="FF0000"/>
            </a:solidFill>
            <a:ln w="15875">
              <a:solidFill>
                <a:srgbClr val="FF0000"/>
              </a:solidFill>
              <a:prstDash val="solid"/>
              <a:round/>
              <a:headEnd/>
              <a:tailEnd/>
            </a:ln>
          </xdr:spPr>
        </xdr:sp>
        <xdr:sp macro="" textlink="">
          <xdr:nvSpPr>
            <xdr:cNvPr id="3469103" name="Freeform 99"/>
            <xdr:cNvSpPr>
              <a:spLocks/>
            </xdr:cNvSpPr>
          </xdr:nvSpPr>
          <xdr:spPr bwMode="auto">
            <a:xfrm>
              <a:off x="620" y="224"/>
              <a:ext cx="4" cy="3"/>
            </a:xfrm>
            <a:custGeom>
              <a:avLst/>
              <a:gdLst>
                <a:gd name="T0" fmla="*/ 0 w 60"/>
                <a:gd name="T1" fmla="*/ 0 h 60"/>
                <a:gd name="T2" fmla="*/ 0 w 60"/>
                <a:gd name="T3" fmla="*/ 0 h 60"/>
                <a:gd name="T4" fmla="*/ 0 w 60"/>
                <a:gd name="T5" fmla="*/ 0 h 60"/>
                <a:gd name="T6" fmla="*/ 0 w 60"/>
                <a:gd name="T7" fmla="*/ 0 h 60"/>
                <a:gd name="T8" fmla="*/ 0 w 60"/>
                <a:gd name="T9" fmla="*/ 0 h 60"/>
                <a:gd name="T10" fmla="*/ 0 60000 65536"/>
                <a:gd name="T11" fmla="*/ 0 60000 65536"/>
                <a:gd name="T12" fmla="*/ 0 60000 65536"/>
                <a:gd name="T13" fmla="*/ 0 60000 65536"/>
                <a:gd name="T14" fmla="*/ 0 60000 65536"/>
                <a:gd name="T15" fmla="*/ 0 w 60"/>
                <a:gd name="T16" fmla="*/ 0 h 60"/>
                <a:gd name="T17" fmla="*/ 60 w 60"/>
                <a:gd name="T18" fmla="*/ 60 h 60"/>
              </a:gdLst>
              <a:ahLst/>
              <a:cxnLst>
                <a:cxn ang="T10">
                  <a:pos x="T0" y="T1"/>
                </a:cxn>
                <a:cxn ang="T11">
                  <a:pos x="T2" y="T3"/>
                </a:cxn>
                <a:cxn ang="T12">
                  <a:pos x="T4" y="T5"/>
                </a:cxn>
                <a:cxn ang="T13">
                  <a:pos x="T6" y="T7"/>
                </a:cxn>
                <a:cxn ang="T14">
                  <a:pos x="T8" y="T9"/>
                </a:cxn>
              </a:cxnLst>
              <a:rect l="T15" t="T16" r="T17" b="T18"/>
              <a:pathLst>
                <a:path w="60" h="60">
                  <a:moveTo>
                    <a:pt x="30" y="0"/>
                  </a:moveTo>
                  <a:lnTo>
                    <a:pt x="60" y="30"/>
                  </a:lnTo>
                  <a:lnTo>
                    <a:pt x="30" y="60"/>
                  </a:lnTo>
                  <a:lnTo>
                    <a:pt x="0" y="30"/>
                  </a:lnTo>
                  <a:lnTo>
                    <a:pt x="30" y="0"/>
                  </a:lnTo>
                  <a:close/>
                </a:path>
              </a:pathLst>
            </a:custGeom>
            <a:solidFill>
              <a:srgbClr val="FF0000"/>
            </a:solidFill>
            <a:ln w="15875">
              <a:solidFill>
                <a:srgbClr val="FF0000"/>
              </a:solidFill>
              <a:prstDash val="solid"/>
              <a:round/>
              <a:headEnd/>
              <a:tailEnd/>
            </a:ln>
          </xdr:spPr>
        </xdr:sp>
        <xdr:sp macro="" textlink="">
          <xdr:nvSpPr>
            <xdr:cNvPr id="3469104" name="Freeform 100"/>
            <xdr:cNvSpPr>
              <a:spLocks/>
            </xdr:cNvSpPr>
          </xdr:nvSpPr>
          <xdr:spPr bwMode="auto">
            <a:xfrm>
              <a:off x="620" y="238"/>
              <a:ext cx="4" cy="3"/>
            </a:xfrm>
            <a:custGeom>
              <a:avLst/>
              <a:gdLst>
                <a:gd name="T0" fmla="*/ 0 w 60"/>
                <a:gd name="T1" fmla="*/ 0 h 60"/>
                <a:gd name="T2" fmla="*/ 0 w 60"/>
                <a:gd name="T3" fmla="*/ 0 h 60"/>
                <a:gd name="T4" fmla="*/ 0 w 60"/>
                <a:gd name="T5" fmla="*/ 0 h 60"/>
                <a:gd name="T6" fmla="*/ 0 w 60"/>
                <a:gd name="T7" fmla="*/ 0 h 60"/>
                <a:gd name="T8" fmla="*/ 0 w 60"/>
                <a:gd name="T9" fmla="*/ 0 h 60"/>
                <a:gd name="T10" fmla="*/ 0 60000 65536"/>
                <a:gd name="T11" fmla="*/ 0 60000 65536"/>
                <a:gd name="T12" fmla="*/ 0 60000 65536"/>
                <a:gd name="T13" fmla="*/ 0 60000 65536"/>
                <a:gd name="T14" fmla="*/ 0 60000 65536"/>
                <a:gd name="T15" fmla="*/ 0 w 60"/>
                <a:gd name="T16" fmla="*/ 0 h 60"/>
                <a:gd name="T17" fmla="*/ 60 w 60"/>
                <a:gd name="T18" fmla="*/ 60 h 60"/>
              </a:gdLst>
              <a:ahLst/>
              <a:cxnLst>
                <a:cxn ang="T10">
                  <a:pos x="T0" y="T1"/>
                </a:cxn>
                <a:cxn ang="T11">
                  <a:pos x="T2" y="T3"/>
                </a:cxn>
                <a:cxn ang="T12">
                  <a:pos x="T4" y="T5"/>
                </a:cxn>
                <a:cxn ang="T13">
                  <a:pos x="T6" y="T7"/>
                </a:cxn>
                <a:cxn ang="T14">
                  <a:pos x="T8" y="T9"/>
                </a:cxn>
              </a:cxnLst>
              <a:rect l="T15" t="T16" r="T17" b="T18"/>
              <a:pathLst>
                <a:path w="60" h="60">
                  <a:moveTo>
                    <a:pt x="30" y="0"/>
                  </a:moveTo>
                  <a:lnTo>
                    <a:pt x="60" y="30"/>
                  </a:lnTo>
                  <a:lnTo>
                    <a:pt x="30" y="60"/>
                  </a:lnTo>
                  <a:lnTo>
                    <a:pt x="0" y="30"/>
                  </a:lnTo>
                  <a:lnTo>
                    <a:pt x="30" y="0"/>
                  </a:lnTo>
                  <a:close/>
                </a:path>
              </a:pathLst>
            </a:custGeom>
            <a:solidFill>
              <a:srgbClr val="FF0000"/>
            </a:solidFill>
            <a:ln w="15875">
              <a:solidFill>
                <a:srgbClr val="FF0000"/>
              </a:solidFill>
              <a:prstDash val="solid"/>
              <a:round/>
              <a:headEnd/>
              <a:tailEnd/>
            </a:ln>
          </xdr:spPr>
        </xdr:sp>
        <xdr:sp macro="" textlink="">
          <xdr:nvSpPr>
            <xdr:cNvPr id="3469105" name="Freeform 101"/>
            <xdr:cNvSpPr>
              <a:spLocks/>
            </xdr:cNvSpPr>
          </xdr:nvSpPr>
          <xdr:spPr bwMode="auto">
            <a:xfrm>
              <a:off x="620" y="253"/>
              <a:ext cx="4" cy="3"/>
            </a:xfrm>
            <a:custGeom>
              <a:avLst/>
              <a:gdLst>
                <a:gd name="T0" fmla="*/ 0 w 60"/>
                <a:gd name="T1" fmla="*/ 0 h 60"/>
                <a:gd name="T2" fmla="*/ 0 w 60"/>
                <a:gd name="T3" fmla="*/ 0 h 60"/>
                <a:gd name="T4" fmla="*/ 0 w 60"/>
                <a:gd name="T5" fmla="*/ 0 h 60"/>
                <a:gd name="T6" fmla="*/ 0 w 60"/>
                <a:gd name="T7" fmla="*/ 0 h 60"/>
                <a:gd name="T8" fmla="*/ 0 w 60"/>
                <a:gd name="T9" fmla="*/ 0 h 60"/>
                <a:gd name="T10" fmla="*/ 0 60000 65536"/>
                <a:gd name="T11" fmla="*/ 0 60000 65536"/>
                <a:gd name="T12" fmla="*/ 0 60000 65536"/>
                <a:gd name="T13" fmla="*/ 0 60000 65536"/>
                <a:gd name="T14" fmla="*/ 0 60000 65536"/>
                <a:gd name="T15" fmla="*/ 0 w 60"/>
                <a:gd name="T16" fmla="*/ 0 h 60"/>
                <a:gd name="T17" fmla="*/ 60 w 60"/>
                <a:gd name="T18" fmla="*/ 60 h 60"/>
              </a:gdLst>
              <a:ahLst/>
              <a:cxnLst>
                <a:cxn ang="T10">
                  <a:pos x="T0" y="T1"/>
                </a:cxn>
                <a:cxn ang="T11">
                  <a:pos x="T2" y="T3"/>
                </a:cxn>
                <a:cxn ang="T12">
                  <a:pos x="T4" y="T5"/>
                </a:cxn>
                <a:cxn ang="T13">
                  <a:pos x="T6" y="T7"/>
                </a:cxn>
                <a:cxn ang="T14">
                  <a:pos x="T8" y="T9"/>
                </a:cxn>
              </a:cxnLst>
              <a:rect l="T15" t="T16" r="T17" b="T18"/>
              <a:pathLst>
                <a:path w="60" h="60">
                  <a:moveTo>
                    <a:pt x="30" y="0"/>
                  </a:moveTo>
                  <a:lnTo>
                    <a:pt x="60" y="30"/>
                  </a:lnTo>
                  <a:lnTo>
                    <a:pt x="30" y="60"/>
                  </a:lnTo>
                  <a:lnTo>
                    <a:pt x="0" y="30"/>
                  </a:lnTo>
                  <a:lnTo>
                    <a:pt x="30" y="0"/>
                  </a:lnTo>
                  <a:close/>
                </a:path>
              </a:pathLst>
            </a:custGeom>
            <a:solidFill>
              <a:srgbClr val="FF0000"/>
            </a:solidFill>
            <a:ln w="15875">
              <a:solidFill>
                <a:srgbClr val="FF0000"/>
              </a:solidFill>
              <a:prstDash val="solid"/>
              <a:round/>
              <a:headEnd/>
              <a:tailEnd/>
            </a:ln>
          </xdr:spPr>
        </xdr:sp>
        <xdr:sp macro="" textlink="">
          <xdr:nvSpPr>
            <xdr:cNvPr id="3469106" name="Freeform 102"/>
            <xdr:cNvSpPr>
              <a:spLocks/>
            </xdr:cNvSpPr>
          </xdr:nvSpPr>
          <xdr:spPr bwMode="auto">
            <a:xfrm>
              <a:off x="620" y="273"/>
              <a:ext cx="4" cy="3"/>
            </a:xfrm>
            <a:custGeom>
              <a:avLst/>
              <a:gdLst>
                <a:gd name="T0" fmla="*/ 0 w 60"/>
                <a:gd name="T1" fmla="*/ 0 h 60"/>
                <a:gd name="T2" fmla="*/ 0 w 60"/>
                <a:gd name="T3" fmla="*/ 0 h 60"/>
                <a:gd name="T4" fmla="*/ 0 w 60"/>
                <a:gd name="T5" fmla="*/ 0 h 60"/>
                <a:gd name="T6" fmla="*/ 0 w 60"/>
                <a:gd name="T7" fmla="*/ 0 h 60"/>
                <a:gd name="T8" fmla="*/ 0 w 60"/>
                <a:gd name="T9" fmla="*/ 0 h 60"/>
                <a:gd name="T10" fmla="*/ 0 60000 65536"/>
                <a:gd name="T11" fmla="*/ 0 60000 65536"/>
                <a:gd name="T12" fmla="*/ 0 60000 65536"/>
                <a:gd name="T13" fmla="*/ 0 60000 65536"/>
                <a:gd name="T14" fmla="*/ 0 60000 65536"/>
                <a:gd name="T15" fmla="*/ 0 w 60"/>
                <a:gd name="T16" fmla="*/ 0 h 60"/>
                <a:gd name="T17" fmla="*/ 60 w 60"/>
                <a:gd name="T18" fmla="*/ 60 h 60"/>
              </a:gdLst>
              <a:ahLst/>
              <a:cxnLst>
                <a:cxn ang="T10">
                  <a:pos x="T0" y="T1"/>
                </a:cxn>
                <a:cxn ang="T11">
                  <a:pos x="T2" y="T3"/>
                </a:cxn>
                <a:cxn ang="T12">
                  <a:pos x="T4" y="T5"/>
                </a:cxn>
                <a:cxn ang="T13">
                  <a:pos x="T6" y="T7"/>
                </a:cxn>
                <a:cxn ang="T14">
                  <a:pos x="T8" y="T9"/>
                </a:cxn>
              </a:cxnLst>
              <a:rect l="T15" t="T16" r="T17" b="T18"/>
              <a:pathLst>
                <a:path w="60" h="60">
                  <a:moveTo>
                    <a:pt x="30" y="0"/>
                  </a:moveTo>
                  <a:lnTo>
                    <a:pt x="60" y="30"/>
                  </a:lnTo>
                  <a:lnTo>
                    <a:pt x="30" y="60"/>
                  </a:lnTo>
                  <a:lnTo>
                    <a:pt x="0" y="30"/>
                  </a:lnTo>
                  <a:lnTo>
                    <a:pt x="30" y="0"/>
                  </a:lnTo>
                  <a:close/>
                </a:path>
              </a:pathLst>
            </a:custGeom>
            <a:solidFill>
              <a:srgbClr val="FF0000"/>
            </a:solidFill>
            <a:ln w="15875">
              <a:solidFill>
                <a:srgbClr val="FF0000"/>
              </a:solidFill>
              <a:prstDash val="solid"/>
              <a:round/>
              <a:headEnd/>
              <a:tailEnd/>
            </a:ln>
          </xdr:spPr>
        </xdr:sp>
      </xdr:grpSp>
    </xdr:grp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111760</xdr:colOff>
      <xdr:row>2</xdr:row>
      <xdr:rowOff>74295</xdr:rowOff>
    </xdr:from>
    <xdr:to>
      <xdr:col>14</xdr:col>
      <xdr:colOff>381000</xdr:colOff>
      <xdr:row>19</xdr:row>
      <xdr:rowOff>16</xdr:rowOff>
    </xdr:to>
    <xdr:sp macro="" textlink="">
      <xdr:nvSpPr>
        <xdr:cNvPr id="4107" name="Text Box 11"/>
        <xdr:cNvSpPr txBox="1">
          <a:spLocks noChangeArrowheads="1"/>
        </xdr:cNvSpPr>
      </xdr:nvSpPr>
      <xdr:spPr bwMode="auto">
        <a:xfrm>
          <a:off x="114300" y="666750"/>
          <a:ext cx="9058275" cy="2686050"/>
        </a:xfrm>
        <a:prstGeom prst="rect">
          <a:avLst/>
        </a:prstGeom>
        <a:solidFill>
          <a:srgbClr val="CCFFFF"/>
        </a:solidFill>
        <a:ln w="9525">
          <a:miter lim="800000"/>
          <a:headEnd/>
          <a:tailEnd/>
        </a:ln>
        <a:effectLst/>
        <a:scene3d>
          <a:camera prst="legacyObliqueTopLeft"/>
          <a:lightRig rig="legacyFlat3" dir="t"/>
        </a:scene3d>
        <a:sp3d extrusionH="430200" prstMaterial="legacyMatte">
          <a:bevelT w="13500" h="13500" prst="angle"/>
          <a:bevelB w="13500" h="13500" prst="angle"/>
          <a:extrusionClr>
            <a:srgbClr val="CCFFFF"/>
          </a:extrusionClr>
        </a:sp3d>
        <a:extLst/>
      </xdr:spPr>
      <xdr:txBody>
        <a:bodyPr vertOverflow="clip" wrap="square" lIns="36576" tIns="27432" rIns="0" bIns="0" anchor="t" upright="1"/>
        <a:lstStyle/>
        <a:p>
          <a:pPr algn="l" rtl="0">
            <a:defRPr sz="1000"/>
          </a:pPr>
          <a:r>
            <a:rPr lang="en-US" sz="1200" b="1" i="0" u="none" strike="noStrike" baseline="0">
              <a:solidFill>
                <a:srgbClr val="000000"/>
              </a:solidFill>
              <a:latin typeface="Arial"/>
              <a:ea typeface="Arial"/>
              <a:cs typeface="Arial"/>
            </a:rPr>
            <a:t>Unpaired t-tests (comparing two independent means):</a:t>
          </a:r>
          <a:endParaRPr lang="en-US" sz="1200" b="0" i="0" u="none" strike="noStrike" baseline="0">
            <a:solidFill>
              <a:srgbClr val="000000"/>
            </a:solidFill>
            <a:latin typeface="Arial"/>
            <a:ea typeface="Arial"/>
            <a:cs typeface="Arial"/>
          </a:endParaRPr>
        </a:p>
        <a:p>
          <a:pPr algn="l" rtl="0">
            <a:defRPr sz="1000"/>
          </a:pPr>
          <a:r>
            <a:rPr lang="en-US" sz="1200" b="0" i="0" u="none" strike="noStrike" baseline="0">
              <a:solidFill>
                <a:srgbClr val="000000"/>
              </a:solidFill>
              <a:latin typeface="Arial"/>
              <a:ea typeface="Arial"/>
              <a:cs typeface="Arial"/>
            </a:rPr>
            <a:t>For continuous data one is frequently asking the question "Is the mean different for these two groups?" In other words, the null hypothesis is that the groups have the same mean. If the sample size is relatively large (&gt;30) this can be done using z scores and the normal distribution. However, authors frequently use a t-test (even with large sample), and this is particularly appropriate if the sample size is small.</a:t>
          </a:r>
        </a:p>
        <a:p>
          <a:pPr algn="l" rtl="0">
            <a:defRPr sz="1000"/>
          </a:pPr>
          <a:endParaRPr lang="en-US" sz="1200" b="0" i="0" u="none" strike="noStrike" baseline="0">
            <a:solidFill>
              <a:srgbClr val="000000"/>
            </a:solidFill>
            <a:latin typeface="Arial"/>
            <a:ea typeface="Arial"/>
            <a:cs typeface="Arial"/>
          </a:endParaRPr>
        </a:p>
        <a:p>
          <a:pPr algn="l" rtl="0">
            <a:defRPr sz="1000"/>
          </a:pPr>
          <a:r>
            <a:rPr lang="en-US" sz="1200" b="0" i="0" u="none" strike="noStrike" baseline="0">
              <a:solidFill>
                <a:srgbClr val="000000"/>
              </a:solidFill>
              <a:latin typeface="Arial"/>
              <a:ea typeface="Arial"/>
              <a:cs typeface="Arial"/>
            </a:rPr>
            <a:t>T-tests calculate a "t" statistic that takes into account the difference between the means, the variability in the data, and the number of observations in each group. Based on the "t" statistic and the degrees of freedom (total observations in the two groups minus 2) one can look up the probability of observing a difference this great or greater if the null hypothesis were true.</a:t>
          </a:r>
        </a:p>
        <a:p>
          <a:pPr algn="l" rtl="0">
            <a:defRPr sz="1000"/>
          </a:pPr>
          <a:endParaRPr lang="en-US" sz="1200" b="0" i="0" u="none" strike="noStrike" baseline="0">
            <a:solidFill>
              <a:srgbClr val="000000"/>
            </a:solidFill>
            <a:latin typeface="Arial"/>
            <a:ea typeface="Arial"/>
            <a:cs typeface="Arial"/>
          </a:endParaRPr>
        </a:p>
        <a:p>
          <a:pPr algn="l" rtl="0">
            <a:defRPr sz="1000"/>
          </a:pPr>
          <a:r>
            <a:rPr lang="en-US" sz="1200" b="0" i="0" u="none" strike="noStrike" baseline="0">
              <a:solidFill>
                <a:srgbClr val="000000"/>
              </a:solidFill>
              <a:latin typeface="Arial"/>
              <a:ea typeface="Arial"/>
              <a:cs typeface="Arial"/>
            </a:rPr>
            <a:t>T-tests are based on several assumptions:</a:t>
          </a:r>
        </a:p>
        <a:p>
          <a:pPr algn="l" rtl="0">
            <a:defRPr sz="1000"/>
          </a:pPr>
          <a:r>
            <a:rPr lang="en-US" sz="1200" b="0" i="0" u="none" strike="noStrike" baseline="0">
              <a:solidFill>
                <a:srgbClr val="000000"/>
              </a:solidFill>
              <a:latin typeface="Arial"/>
              <a:ea typeface="Arial"/>
              <a:cs typeface="Arial"/>
            </a:rPr>
            <a:t>1) that the data are reasonably close to being normally distributed</a:t>
          </a:r>
        </a:p>
        <a:p>
          <a:pPr algn="l" rtl="0">
            <a:defRPr sz="1000"/>
          </a:pPr>
          <a:r>
            <a:rPr lang="en-US" sz="1200" b="0" i="0" u="none" strike="noStrike" baseline="0">
              <a:solidFill>
                <a:srgbClr val="000000"/>
              </a:solidFill>
              <a:latin typeface="Arial"/>
              <a:ea typeface="Arial"/>
              <a:cs typeface="Arial"/>
            </a:rPr>
            <a:t>2) that the two samples have similar variance &amp; standard deviation  </a:t>
          </a:r>
        </a:p>
        <a:p>
          <a:pPr algn="l" rtl="0">
            <a:defRPr sz="1000"/>
          </a:pPr>
          <a:r>
            <a:rPr lang="en-US" sz="1200" b="0" i="0" u="none" strike="noStrike" baseline="0">
              <a:solidFill>
                <a:srgbClr val="000000"/>
              </a:solidFill>
              <a:latin typeface="Arial"/>
              <a:ea typeface="Arial"/>
              <a:cs typeface="Arial"/>
            </a:rPr>
            <a:t>3) that the observations are independent of each other. </a:t>
          </a:r>
        </a:p>
      </xdr:txBody>
    </xdr:sp>
    <xdr:clientData/>
  </xdr:twoCellAnchor>
  <xdr:twoCellAnchor>
    <xdr:from>
      <xdr:col>16</xdr:col>
      <xdr:colOff>7620</xdr:colOff>
      <xdr:row>8</xdr:row>
      <xdr:rowOff>68580</xdr:rowOff>
    </xdr:from>
    <xdr:to>
      <xdr:col>23</xdr:col>
      <xdr:colOff>381000</xdr:colOff>
      <xdr:row>23</xdr:row>
      <xdr:rowOff>30480</xdr:rowOff>
    </xdr:to>
    <xdr:graphicFrame macro="">
      <xdr:nvGraphicFramePr>
        <xdr:cNvPr id="2867441"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252095</xdr:colOff>
      <xdr:row>45</xdr:row>
      <xdr:rowOff>26670</xdr:rowOff>
    </xdr:from>
    <xdr:to>
      <xdr:col>12</xdr:col>
      <xdr:colOff>40005</xdr:colOff>
      <xdr:row>54</xdr:row>
      <xdr:rowOff>133958</xdr:rowOff>
    </xdr:to>
    <xdr:sp macro="" textlink="">
      <xdr:nvSpPr>
        <xdr:cNvPr id="4112" name="Text Box 16"/>
        <xdr:cNvSpPr txBox="1">
          <a:spLocks noChangeArrowheads="1"/>
        </xdr:cNvSpPr>
      </xdr:nvSpPr>
      <xdr:spPr bwMode="auto">
        <a:xfrm>
          <a:off x="266700" y="7620000"/>
          <a:ext cx="7353300" cy="1562100"/>
        </a:xfrm>
        <a:prstGeom prst="rect">
          <a:avLst/>
        </a:prstGeom>
        <a:solidFill>
          <a:srgbClr val="CCFFFF"/>
        </a:solidFill>
        <a:ln w="9525">
          <a:miter lim="800000"/>
          <a:headEnd/>
          <a:tailEnd/>
        </a:ln>
        <a:effectLst/>
        <a:scene3d>
          <a:camera prst="legacyObliqueTopLeft"/>
          <a:lightRig rig="legacyFlat3" dir="t"/>
        </a:scene3d>
        <a:sp3d extrusionH="430200" prstMaterial="legacyMatte">
          <a:bevelT w="13500" h="13500" prst="angle"/>
          <a:bevelB w="13500" h="13500" prst="angle"/>
          <a:extrusionClr>
            <a:srgbClr val="CCFFFF"/>
          </a:extrusionClr>
        </a:sp3d>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ea typeface="Arial"/>
              <a:cs typeface="Arial"/>
            </a:rPr>
            <a:t>The t-test is a "parametric" test, because it relies on the legitimate use of the means and standard deviations, which are the </a:t>
          </a:r>
          <a:r>
            <a:rPr lang="en-US" sz="1100" b="1" i="0" u="none" strike="noStrike" baseline="0">
              <a:solidFill>
                <a:srgbClr val="000000"/>
              </a:solidFill>
              <a:latin typeface="Arial"/>
              <a:ea typeface="Arial"/>
              <a:cs typeface="Arial"/>
            </a:rPr>
            <a:t>parameters</a:t>
          </a:r>
          <a:r>
            <a:rPr lang="en-US" sz="1100" b="0" i="0" u="none" strike="noStrike" baseline="0">
              <a:solidFill>
                <a:srgbClr val="000000"/>
              </a:solidFill>
              <a:latin typeface="Arial"/>
              <a:ea typeface="Arial"/>
              <a:cs typeface="Arial"/>
            </a:rPr>
            <a:t> that define normally distributed continuous variables. If the groups you want to compare are clearly skewed (i.e. do not conform to a Normal distribution), you have two options:</a:t>
          </a:r>
        </a:p>
        <a:p>
          <a:pPr algn="l" rtl="0">
            <a:defRPr sz="1000"/>
          </a:pPr>
          <a:endParaRPr lang="en-US" sz="1100" b="0" i="0" u="none" strike="noStrike" baseline="0">
            <a:solidFill>
              <a:srgbClr val="000000"/>
            </a:solidFill>
            <a:latin typeface="Arial"/>
            <a:ea typeface="Arial"/>
            <a:cs typeface="Arial"/>
          </a:endParaRPr>
        </a:p>
        <a:p>
          <a:pPr algn="l" rtl="0">
            <a:defRPr sz="1000"/>
          </a:pPr>
          <a:r>
            <a:rPr lang="en-US" sz="1100" b="0" i="0" u="none" strike="noStrike" baseline="0">
              <a:solidFill>
                <a:srgbClr val="000000"/>
              </a:solidFill>
              <a:latin typeface="Arial"/>
              <a:ea typeface="Arial"/>
              <a:cs typeface="Arial"/>
            </a:rPr>
            <a:t>                      1) Sometimes you can </a:t>
          </a:r>
          <a:r>
            <a:rPr lang="en-US" sz="1100" b="1" i="0" u="none" strike="noStrike" baseline="0">
              <a:solidFill>
                <a:srgbClr val="000000"/>
              </a:solidFill>
              <a:latin typeface="Arial"/>
              <a:ea typeface="Arial"/>
              <a:cs typeface="Arial"/>
            </a:rPr>
            <a:t>"transform" the dat</a:t>
          </a:r>
          <a:r>
            <a:rPr lang="en-US" sz="1100" b="0" i="0" u="none" strike="noStrike" baseline="0">
              <a:solidFill>
                <a:srgbClr val="000000"/>
              </a:solidFill>
              <a:latin typeface="Arial"/>
              <a:ea typeface="Arial"/>
              <a:cs typeface="Arial"/>
            </a:rPr>
            <a:t>a, e.g. by taking the log of each observation; if the log values are normally distributed, you can then do a t-test on the transformed data; this is legitimate.</a:t>
          </a:r>
        </a:p>
        <a:p>
          <a:pPr algn="l" rtl="0">
            <a:defRPr sz="1000"/>
          </a:pPr>
          <a:endParaRPr lang="en-US" sz="1100" b="0" i="0" u="none" strike="noStrike" baseline="0">
            <a:solidFill>
              <a:srgbClr val="000000"/>
            </a:solidFill>
            <a:latin typeface="Arial"/>
            <a:ea typeface="Arial"/>
            <a:cs typeface="Arial"/>
          </a:endParaRPr>
        </a:p>
        <a:p>
          <a:pPr algn="l" rtl="0">
            <a:defRPr sz="1000"/>
          </a:pPr>
          <a:r>
            <a:rPr lang="en-US" sz="1100" b="0" i="0" u="none" strike="noStrike" baseline="0">
              <a:solidFill>
                <a:srgbClr val="000000"/>
              </a:solidFill>
              <a:latin typeface="Arial"/>
              <a:ea typeface="Arial"/>
              <a:cs typeface="Arial"/>
            </a:rPr>
            <a:t>                      2) You can use a </a:t>
          </a:r>
          <a:r>
            <a:rPr lang="en-US" sz="1100" b="1" i="0" u="none" strike="noStrike" baseline="0">
              <a:solidFill>
                <a:srgbClr val="000000"/>
              </a:solidFill>
              <a:latin typeface="Arial"/>
              <a:ea typeface="Arial"/>
              <a:cs typeface="Arial"/>
            </a:rPr>
            <a:t>"non-parametric" statistical tes</a:t>
          </a:r>
          <a:r>
            <a:rPr lang="en-US" sz="1100" b="0" i="0" u="none" strike="noStrike" baseline="0">
              <a:solidFill>
                <a:srgbClr val="000000"/>
              </a:solidFill>
              <a:latin typeface="Arial"/>
              <a:ea typeface="Arial"/>
              <a:cs typeface="Arial"/>
            </a:rPr>
            <a:t>t.</a:t>
          </a:r>
        </a:p>
        <a:p>
          <a:pPr algn="l" rtl="0">
            <a:defRPr sz="1000"/>
          </a:pPr>
          <a:endParaRPr lang="en-US" sz="1100" b="0" i="0" u="none" strike="noStrike" baseline="0">
            <a:solidFill>
              <a:srgbClr val="000000"/>
            </a:solidFill>
            <a:latin typeface="Arial"/>
            <a:ea typeface="Arial"/>
            <a:cs typeface="Arial"/>
          </a:endParaRPr>
        </a:p>
      </xdr:txBody>
    </xdr:sp>
    <xdr:clientData/>
  </xdr:twoCellAnchor>
  <xdr:twoCellAnchor>
    <xdr:from>
      <xdr:col>0</xdr:col>
      <xdr:colOff>73660</xdr:colOff>
      <xdr:row>0</xdr:row>
      <xdr:rowOff>104775</xdr:rowOff>
    </xdr:from>
    <xdr:to>
      <xdr:col>3</xdr:col>
      <xdr:colOff>181564</xdr:colOff>
      <xdr:row>0</xdr:row>
      <xdr:rowOff>409575</xdr:rowOff>
    </xdr:to>
    <xdr:sp macro="" textlink="">
      <xdr:nvSpPr>
        <xdr:cNvPr id="4113" name="Text Box 17"/>
        <xdr:cNvSpPr txBox="1">
          <a:spLocks noChangeArrowheads="1"/>
        </xdr:cNvSpPr>
      </xdr:nvSpPr>
      <xdr:spPr bwMode="auto">
        <a:xfrm>
          <a:off x="76200" y="104775"/>
          <a:ext cx="1933575" cy="304800"/>
        </a:xfrm>
        <a:prstGeom prst="rect">
          <a:avLst/>
        </a:prstGeom>
        <a:solidFill>
          <a:srgbClr val="FFFF99"/>
        </a:solidFill>
        <a:ln w="9525">
          <a:solidFill>
            <a:srgbClr val="000000"/>
          </a:solidFill>
          <a:miter lim="800000"/>
          <a:headEnd/>
          <a:tailEnd/>
        </a:ln>
      </xdr:spPr>
      <xdr:txBody>
        <a:bodyPr vertOverflow="clip" wrap="square" lIns="36576" tIns="27432" rIns="36576" bIns="27432" anchor="ctr" upright="1"/>
        <a:lstStyle/>
        <a:p>
          <a:pPr algn="ctr" rtl="0">
            <a:defRPr sz="1000"/>
          </a:pPr>
          <a:r>
            <a:rPr lang="en-US" sz="1400" b="1" i="0" u="none" strike="noStrike" baseline="0">
              <a:solidFill>
                <a:srgbClr val="008000"/>
              </a:solidFill>
              <a:latin typeface="Arial"/>
              <a:cs typeface="Arial"/>
            </a:rPr>
            <a:t>The Unpaired T-Test</a:t>
          </a:r>
        </a:p>
      </xdr:txBody>
    </xdr:sp>
    <xdr:clientData/>
  </xdr:twoCellAnchor>
  <xdr:twoCellAnchor>
    <xdr:from>
      <xdr:col>4</xdr:col>
      <xdr:colOff>213995</xdr:colOff>
      <xdr:row>21</xdr:row>
      <xdr:rowOff>140335</xdr:rowOff>
    </xdr:from>
    <xdr:to>
      <xdr:col>14</xdr:col>
      <xdr:colOff>202585</xdr:colOff>
      <xdr:row>41</xdr:row>
      <xdr:rowOff>122567</xdr:rowOff>
    </xdr:to>
    <xdr:sp macro="" textlink="">
      <xdr:nvSpPr>
        <xdr:cNvPr id="4114" name="Text Box 18"/>
        <xdr:cNvSpPr txBox="1">
          <a:spLocks noChangeArrowheads="1"/>
        </xdr:cNvSpPr>
      </xdr:nvSpPr>
      <xdr:spPr bwMode="auto">
        <a:xfrm>
          <a:off x="2638425" y="3867150"/>
          <a:ext cx="6353175" cy="3200400"/>
        </a:xfrm>
        <a:prstGeom prst="rect">
          <a:avLst/>
        </a:prstGeom>
        <a:solidFill>
          <a:srgbClr val="CCFFFF"/>
        </a:solidFill>
        <a:ln w="9525">
          <a:miter lim="800000"/>
          <a:headEnd/>
          <a:tailEnd/>
        </a:ln>
        <a:effectLst/>
        <a:scene3d>
          <a:camera prst="legacyObliqueTopLeft"/>
          <a:lightRig rig="legacyFlat3" dir="t"/>
        </a:scene3d>
        <a:sp3d extrusionH="430200" prstMaterial="legacyMatte">
          <a:bevelT w="13500" h="13500" prst="angle"/>
          <a:bevelB w="13500" h="13500" prst="angle"/>
          <a:extrusionClr>
            <a:srgbClr val="CCFFFF"/>
          </a:extrusionClr>
        </a:sp3d>
        <a:extLst/>
      </xdr:spPr>
      <xdr:txBody>
        <a:bodyPr vertOverflow="clip" wrap="square" lIns="91440" tIns="45720" rIns="91440" bIns="45720" anchor="t" upright="1"/>
        <a:lstStyle/>
        <a:p>
          <a:pPr algn="l" rtl="0">
            <a:defRPr sz="1000"/>
          </a:pPr>
          <a:r>
            <a:rPr lang="en-US" sz="1200" b="0" i="0" u="none" strike="noStrike" baseline="0">
              <a:solidFill>
                <a:srgbClr val="000000"/>
              </a:solidFill>
              <a:latin typeface="Arial"/>
              <a:ea typeface="Arial"/>
              <a:cs typeface="Arial"/>
            </a:rPr>
            <a:t>From a practical point of view Excel provides built in functions that make t-tests easy. Click on cell C44 to see the function used for a  t-test with equal variance. One specifies: </a:t>
          </a:r>
        </a:p>
        <a:p>
          <a:pPr algn="l" rtl="0">
            <a:defRPr sz="1000"/>
          </a:pPr>
          <a:r>
            <a:rPr lang="en-US" sz="1200" b="0" i="0" u="none" strike="noStrike" baseline="0">
              <a:solidFill>
                <a:srgbClr val="000000"/>
              </a:solidFill>
              <a:latin typeface="Arial"/>
              <a:ea typeface="Arial"/>
              <a:cs typeface="Arial"/>
            </a:rPr>
            <a:t>          • the cells where the first groups data is found,</a:t>
          </a:r>
        </a:p>
        <a:p>
          <a:pPr algn="l" rtl="0">
            <a:defRPr sz="1000"/>
          </a:pPr>
          <a:r>
            <a:rPr lang="en-US" sz="1200" b="0" i="0" u="none" strike="noStrike" baseline="0">
              <a:solidFill>
                <a:srgbClr val="000000"/>
              </a:solidFill>
              <a:latin typeface="Arial"/>
              <a:ea typeface="Arial"/>
              <a:cs typeface="Arial"/>
            </a:rPr>
            <a:t>          • the cells where the second group's data is found,</a:t>
          </a:r>
        </a:p>
        <a:p>
          <a:pPr algn="l" rtl="0">
            <a:defRPr sz="1000"/>
          </a:pPr>
          <a:r>
            <a:rPr lang="en-US" sz="1200" b="0" i="0" u="none" strike="noStrike" baseline="0">
              <a:solidFill>
                <a:srgbClr val="000000"/>
              </a:solidFill>
              <a:latin typeface="Arial"/>
              <a:ea typeface="Arial"/>
              <a:cs typeface="Arial"/>
            </a:rPr>
            <a:t>          • then whether it is a 2-tailed test or a 1-tailed test, and </a:t>
          </a:r>
        </a:p>
        <a:p>
          <a:pPr algn="l" rtl="0">
            <a:defRPr sz="1000"/>
          </a:pPr>
          <a:r>
            <a:rPr lang="en-US" sz="1200" b="0" i="0" u="none" strike="noStrike" baseline="0">
              <a:solidFill>
                <a:srgbClr val="000000"/>
              </a:solidFill>
              <a:latin typeface="Arial"/>
              <a:ea typeface="Arial"/>
              <a:cs typeface="Arial"/>
            </a:rPr>
            <a:t>          • finally a "2" to indicate a test for equal variance. </a:t>
          </a:r>
        </a:p>
        <a:p>
          <a:pPr algn="l" rtl="0">
            <a:defRPr sz="1000"/>
          </a:pPr>
          <a:r>
            <a:rPr lang="en-US" sz="1200" b="0" i="0" u="none" strike="noStrike" baseline="0">
              <a:solidFill>
                <a:srgbClr val="000000"/>
              </a:solidFill>
              <a:latin typeface="Arial"/>
              <a:ea typeface="Arial"/>
              <a:cs typeface="Arial"/>
            </a:rPr>
            <a:t>If the variance is unequal, there is a modified calculations that one can get by specifying "3" as the last parameter in the function (compare the formulae in cells C44 &amp; C45). As a rule of thumb, if one standard deviation is more than twice the other, you should use the unequal variance test.</a:t>
          </a:r>
        </a:p>
        <a:p>
          <a:pPr algn="l" rtl="0">
            <a:defRPr sz="1000"/>
          </a:pPr>
          <a:endParaRPr lang="en-US" sz="1200" b="0" i="0" u="none" strike="noStrike" baseline="0">
            <a:solidFill>
              <a:srgbClr val="000000"/>
            </a:solidFill>
            <a:latin typeface="Arial"/>
            <a:ea typeface="Arial"/>
            <a:cs typeface="Arial"/>
          </a:endParaRPr>
        </a:p>
        <a:p>
          <a:pPr algn="l" rtl="0">
            <a:defRPr sz="1000"/>
          </a:pPr>
          <a:r>
            <a:rPr lang="en-US" sz="1200" b="0" i="0" u="none" strike="noStrike" baseline="0">
              <a:solidFill>
                <a:srgbClr val="000000"/>
              </a:solidFill>
              <a:latin typeface="Arial"/>
              <a:ea typeface="Arial"/>
              <a:cs typeface="Arial"/>
            </a:rPr>
            <a:t>Note also that the two groups do not have to have the same number of subjects.</a:t>
          </a:r>
        </a:p>
        <a:p>
          <a:pPr algn="l" rtl="0">
            <a:defRPr sz="1000"/>
          </a:pPr>
          <a:endParaRPr lang="en-US" sz="1200" b="0" i="0" u="none" strike="noStrike" baseline="0">
            <a:solidFill>
              <a:srgbClr val="000000"/>
            </a:solidFill>
            <a:latin typeface="Arial"/>
            <a:ea typeface="Arial"/>
            <a:cs typeface="Arial"/>
          </a:endParaRPr>
        </a:p>
        <a:p>
          <a:pPr algn="l" rtl="0">
            <a:lnSpc>
              <a:spcPts val="1300"/>
            </a:lnSpc>
            <a:defRPr sz="1000"/>
          </a:pPr>
          <a:r>
            <a:rPr lang="en-US" sz="1200" b="0" i="0" u="none" strike="noStrike" baseline="0">
              <a:solidFill>
                <a:srgbClr val="000000"/>
              </a:solidFill>
              <a:latin typeface="Arial"/>
              <a:ea typeface="Arial"/>
              <a:cs typeface="Arial"/>
            </a:rPr>
            <a:t>Finally, note that in this case we are estimating the means in each group to test whether they are different; consequently, it is appropriate to calculate SEM, which is SD divided by the square root of N. </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76200</xdr:colOff>
      <xdr:row>11</xdr:row>
      <xdr:rowOff>45720</xdr:rowOff>
    </xdr:from>
    <xdr:to>
      <xdr:col>8</xdr:col>
      <xdr:colOff>548640</xdr:colOff>
      <xdr:row>27</xdr:row>
      <xdr:rowOff>30480</xdr:rowOff>
    </xdr:to>
    <xdr:graphicFrame macro="">
      <xdr:nvGraphicFramePr>
        <xdr:cNvPr id="612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562610</xdr:colOff>
      <xdr:row>2</xdr:row>
      <xdr:rowOff>36195</xdr:rowOff>
    </xdr:from>
    <xdr:to>
      <xdr:col>15</xdr:col>
      <xdr:colOff>70499</xdr:colOff>
      <xdr:row>29</xdr:row>
      <xdr:rowOff>133985</xdr:rowOff>
    </xdr:to>
    <xdr:sp macro="" textlink="">
      <xdr:nvSpPr>
        <xdr:cNvPr id="5123" name="Text Box 3"/>
        <xdr:cNvSpPr txBox="1">
          <a:spLocks noChangeArrowheads="1"/>
        </xdr:cNvSpPr>
      </xdr:nvSpPr>
      <xdr:spPr bwMode="auto">
        <a:xfrm>
          <a:off x="5514975" y="504825"/>
          <a:ext cx="3781425" cy="4733925"/>
        </a:xfrm>
        <a:prstGeom prst="rect">
          <a:avLst/>
        </a:prstGeom>
        <a:solidFill>
          <a:srgbClr val="CCFFFF"/>
        </a:solidFill>
        <a:ln w="9525">
          <a:miter lim="800000"/>
          <a:headEnd/>
          <a:tailEnd/>
        </a:ln>
        <a:effectLst/>
        <a:scene3d>
          <a:camera prst="legacyObliqueTopLeft"/>
          <a:lightRig rig="legacyFlat3" dir="t"/>
        </a:scene3d>
        <a:sp3d extrusionH="430200" prstMaterial="legacyMatte">
          <a:bevelT w="13500" h="13500" prst="angle"/>
          <a:bevelB w="13500" h="13500" prst="angle"/>
          <a:extrusionClr>
            <a:srgbClr val="CCFFFF"/>
          </a:extrusionClr>
        </a:sp3d>
        <a:ex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ea typeface="Arial"/>
              <a:cs typeface="Arial"/>
            </a:rPr>
            <a:t>The "dependent" variable (outcome of interest) here is savings and the independent variable is time. The data (X and Y values) are contained in the block of cells from B3 to C10. The analysis is performed using several functions that are built into Excel. The SLOPE "m" is calculated in cell H3 using the Excel function "=SLOPE(C3:C10,B3:B10) " . So basically you need to specify where the data is, with the "Y" values specified first. </a:t>
          </a:r>
        </a:p>
        <a:p>
          <a:pPr algn="l" rtl="0">
            <a:defRPr sz="1000"/>
          </a:pPr>
          <a:endParaRPr lang="en-US" sz="1200" b="0" i="0" u="none" strike="noStrike" baseline="0">
            <a:solidFill>
              <a:srgbClr val="000000"/>
            </a:solidFill>
            <a:latin typeface="Arial"/>
            <a:ea typeface="Arial"/>
            <a:cs typeface="Arial"/>
          </a:endParaRPr>
        </a:p>
        <a:p>
          <a:pPr algn="l" rtl="0">
            <a:defRPr sz="1000"/>
          </a:pPr>
          <a:r>
            <a:rPr lang="en-US" sz="1200" b="0" i="0" u="none" strike="noStrike" baseline="0">
              <a:solidFill>
                <a:srgbClr val="000000"/>
              </a:solidFill>
              <a:latin typeface="Arial"/>
              <a:ea typeface="Arial"/>
              <a:cs typeface="Arial"/>
            </a:rPr>
            <a:t>The Y-INTERCEPT "b" is calculated in H4 from the Excel function "INTERCEPT(C3:C10,B3:B10); again, the data block is specified, given the location of the "Y" values first. From these two parameters, one can now specify the line of best fit using the form Y=b + mX. </a:t>
          </a:r>
        </a:p>
        <a:p>
          <a:pPr algn="l" rtl="0">
            <a:defRPr sz="1000"/>
          </a:pPr>
          <a:endParaRPr lang="en-US" sz="1200" b="0" i="0" u="none" strike="noStrike" baseline="0">
            <a:solidFill>
              <a:srgbClr val="000000"/>
            </a:solidFill>
            <a:latin typeface="Arial"/>
            <a:ea typeface="Arial"/>
            <a:cs typeface="Arial"/>
          </a:endParaRPr>
        </a:p>
        <a:p>
          <a:pPr algn="l" rtl="0">
            <a:defRPr sz="1000"/>
          </a:pPr>
          <a:r>
            <a:rPr lang="en-US" sz="1200" b="0" i="0" u="none" strike="noStrike" baseline="0">
              <a:solidFill>
                <a:srgbClr val="000000"/>
              </a:solidFill>
              <a:latin typeface="Arial"/>
              <a:ea typeface="Arial"/>
              <a:cs typeface="Arial"/>
            </a:rPr>
            <a:t>To calculate the correlation coefficient for this relationship one would use the Excel function "=CORREL(B3:B10,C3:C10)" which is located in H6. Finally, in H7, I squared what I got in H6 in order to calculate "r-squared", which indicates what percentage of the variability in earnings is explained by time.  </a:t>
          </a:r>
        </a:p>
      </xdr:txBody>
    </xdr:sp>
    <xdr:clientData/>
  </xdr:twoCellAnchor>
  <xdr:twoCellAnchor>
    <xdr:from>
      <xdr:col>0</xdr:col>
      <xdr:colOff>221615</xdr:colOff>
      <xdr:row>26</xdr:row>
      <xdr:rowOff>45720</xdr:rowOff>
    </xdr:from>
    <xdr:to>
      <xdr:col>8</xdr:col>
      <xdr:colOff>566382</xdr:colOff>
      <xdr:row>30</xdr:row>
      <xdr:rowOff>100985</xdr:rowOff>
    </xdr:to>
    <xdr:sp macro="" textlink="">
      <xdr:nvSpPr>
        <xdr:cNvPr id="5124" name="Text Box 4"/>
        <xdr:cNvSpPr txBox="1">
          <a:spLocks noChangeArrowheads="1"/>
        </xdr:cNvSpPr>
      </xdr:nvSpPr>
      <xdr:spPr bwMode="auto">
        <a:xfrm>
          <a:off x="228600" y="4667250"/>
          <a:ext cx="5305425" cy="695325"/>
        </a:xfrm>
        <a:prstGeom prst="rect">
          <a:avLst/>
        </a:prstGeom>
        <a:solidFill>
          <a:srgbClr val="CCFFFF"/>
        </a:solidFill>
        <a:ln w="9525">
          <a:miter lim="800000"/>
          <a:headEnd/>
          <a:tailEnd/>
        </a:ln>
        <a:effectLst/>
        <a:scene3d>
          <a:camera prst="legacyObliqueTopLeft"/>
          <a:lightRig rig="legacyFlat3" dir="t"/>
        </a:scene3d>
        <a:sp3d extrusionH="430200" prstMaterial="legacyMatte">
          <a:bevelT w="13500" h="13500" prst="angle"/>
          <a:bevelB w="13500" h="13500" prst="angle"/>
          <a:extrusionClr>
            <a:srgbClr val="CCFFFF"/>
          </a:extrusionClr>
        </a:sp3d>
        <a:extLst/>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I used the graphing tool to plot the individual data points (blue diamonds) and the line of best fit (pink line).</a:t>
          </a:r>
        </a:p>
      </xdr:txBody>
    </xdr:sp>
    <xdr:clientData/>
  </xdr:twoCellAnchor>
  <xdr:twoCellAnchor>
    <xdr:from>
      <xdr:col>0</xdr:col>
      <xdr:colOff>71755</xdr:colOff>
      <xdr:row>0</xdr:row>
      <xdr:rowOff>28575</xdr:rowOff>
    </xdr:from>
    <xdr:to>
      <xdr:col>7</xdr:col>
      <xdr:colOff>566377</xdr:colOff>
      <xdr:row>0</xdr:row>
      <xdr:rowOff>276225</xdr:rowOff>
    </xdr:to>
    <xdr:sp macro="" textlink="">
      <xdr:nvSpPr>
        <xdr:cNvPr id="5125" name="Text Box 5"/>
        <xdr:cNvSpPr txBox="1">
          <a:spLocks noChangeArrowheads="1"/>
        </xdr:cNvSpPr>
      </xdr:nvSpPr>
      <xdr:spPr bwMode="auto">
        <a:xfrm>
          <a:off x="66675" y="28575"/>
          <a:ext cx="4857750" cy="247650"/>
        </a:xfrm>
        <a:prstGeom prst="rect">
          <a:avLst/>
        </a:prstGeom>
        <a:solidFill>
          <a:srgbClr val="FFFF99"/>
        </a:solidFill>
        <a:ln w="9525">
          <a:solidFill>
            <a:srgbClr val="000000"/>
          </a:solidFill>
          <a:miter lim="800000"/>
          <a:headEnd/>
          <a:tailEnd/>
        </a:ln>
      </xdr:spPr>
      <xdr:txBody>
        <a:bodyPr vertOverflow="clip" wrap="square" lIns="36576" tIns="27432" rIns="36576" bIns="27432" anchor="ctr" upright="1"/>
        <a:lstStyle/>
        <a:p>
          <a:pPr algn="ctr" rtl="0">
            <a:defRPr sz="1000"/>
          </a:pPr>
          <a:r>
            <a:rPr lang="en-US" sz="1400" b="0" i="0" u="none" strike="noStrike" baseline="0">
              <a:solidFill>
                <a:srgbClr val="000000"/>
              </a:solidFill>
              <a:latin typeface="Arial"/>
              <a:cs typeface="Arial"/>
            </a:rPr>
            <a:t>Correlation, Linear Regression, and the Line of Best Fit</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5</xdr:col>
      <xdr:colOff>216535</xdr:colOff>
      <xdr:row>5</xdr:row>
      <xdr:rowOff>180975</xdr:rowOff>
    </xdr:from>
    <xdr:to>
      <xdr:col>13</xdr:col>
      <xdr:colOff>30484</xdr:colOff>
      <xdr:row>15</xdr:row>
      <xdr:rowOff>118124</xdr:rowOff>
    </xdr:to>
    <xdr:sp macro="" textlink="">
      <xdr:nvSpPr>
        <xdr:cNvPr id="16385" name="Text Box 1"/>
        <xdr:cNvSpPr txBox="1">
          <a:spLocks noChangeArrowheads="1"/>
        </xdr:cNvSpPr>
      </xdr:nvSpPr>
      <xdr:spPr bwMode="auto">
        <a:xfrm>
          <a:off x="3857625" y="1162050"/>
          <a:ext cx="5143500" cy="1638300"/>
        </a:xfrm>
        <a:prstGeom prst="rect">
          <a:avLst/>
        </a:prstGeom>
        <a:solidFill>
          <a:srgbClr val="FFFF99"/>
        </a:solidFill>
        <a:ln w="9525">
          <a:miter lim="800000"/>
          <a:headEnd/>
          <a:tailEnd/>
        </a:ln>
        <a:effectLst/>
        <a:scene3d>
          <a:camera prst="legacyObliqueTopLeft"/>
          <a:lightRig rig="legacyFlat3" dir="t"/>
        </a:scene3d>
        <a:sp3d extrusionH="430200" prstMaterial="legacyMatte">
          <a:bevelT w="13500" h="13500" prst="angle"/>
          <a:bevelB w="13500" h="13500" prst="angle"/>
          <a:extrusionClr>
            <a:srgbClr val="FFFF99"/>
          </a:extrusionClr>
        </a:sp3d>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ea typeface="Arial"/>
              <a:cs typeface="Arial"/>
            </a:rPr>
            <a:t>The columns of data to the left are serum creatinine levels among 4 groups of subjects. A one-factor analysis of variance can be performed to determine whether there are significant differences in the means of these groups.</a:t>
          </a:r>
        </a:p>
        <a:p>
          <a:pPr algn="l" rtl="0">
            <a:defRPr sz="1000"/>
          </a:pPr>
          <a:endParaRPr lang="en-US" sz="1000" b="0" i="0" u="none" strike="noStrike" baseline="0">
            <a:solidFill>
              <a:srgbClr val="000000"/>
            </a:solidFill>
            <a:latin typeface="Arial"/>
            <a:ea typeface="Arial"/>
            <a:cs typeface="Arial"/>
          </a:endParaRPr>
        </a:p>
        <a:p>
          <a:pPr algn="l" rtl="0">
            <a:defRPr sz="1000"/>
          </a:pPr>
          <a:r>
            <a:rPr lang="en-US" sz="1000" b="0" i="0" u="none" strike="noStrike" baseline="0">
              <a:solidFill>
                <a:srgbClr val="000000"/>
              </a:solidFill>
              <a:latin typeface="Arial"/>
              <a:ea typeface="Arial"/>
              <a:cs typeface="Arial"/>
            </a:rPr>
            <a:t>Select the block of data (including column labels) from B2:E27. Then, from the upper menu, select "Tools", then "Data Analysis", then "Single Factor Analysis of Variance". Check the box for labels, and specify the Output Range as G12. The result is shown in the box below.</a:t>
          </a:r>
        </a:p>
        <a:p>
          <a:pPr algn="l" rtl="0">
            <a:defRPr sz="1000"/>
          </a:pPr>
          <a:endParaRPr lang="en-US" sz="1000" b="0" i="0" u="none" strike="noStrike" baseline="0">
            <a:solidFill>
              <a:srgbClr val="000000"/>
            </a:solidFill>
            <a:latin typeface="Arial"/>
            <a:ea typeface="Arial"/>
            <a:cs typeface="Arial"/>
          </a:endParaRPr>
        </a:p>
        <a:p>
          <a:pPr algn="l" rtl="0">
            <a:defRPr sz="1000"/>
          </a:pPr>
          <a:r>
            <a:rPr lang="en-US" sz="1000" b="0" i="0" u="none" strike="noStrike" baseline="0">
              <a:solidFill>
                <a:srgbClr val="000000"/>
              </a:solidFill>
              <a:latin typeface="Arial"/>
              <a:ea typeface="Arial"/>
              <a:cs typeface="Arial"/>
            </a:rPr>
            <a:t>The p-value (0.0764) indicates differences in means that do not quite meet the alpha=0.05 criterion for statistical significance.</a:t>
          </a:r>
        </a:p>
      </xdr:txBody>
    </xdr:sp>
    <xdr:clientData/>
  </xdr:twoCellAnchor>
  <xdr:twoCellAnchor>
    <xdr:from>
      <xdr:col>0</xdr:col>
      <xdr:colOff>143510</xdr:colOff>
      <xdr:row>4</xdr:row>
      <xdr:rowOff>66675</xdr:rowOff>
    </xdr:from>
    <xdr:to>
      <xdr:col>4</xdr:col>
      <xdr:colOff>536005</xdr:colOff>
      <xdr:row>5</xdr:row>
      <xdr:rowOff>95250</xdr:rowOff>
    </xdr:to>
    <xdr:sp macro="" textlink="">
      <xdr:nvSpPr>
        <xdr:cNvPr id="16386" name="Text Box 2"/>
        <xdr:cNvSpPr txBox="1">
          <a:spLocks noChangeArrowheads="1"/>
        </xdr:cNvSpPr>
      </xdr:nvSpPr>
      <xdr:spPr bwMode="auto">
        <a:xfrm>
          <a:off x="142875" y="714375"/>
          <a:ext cx="3248025" cy="361950"/>
        </a:xfrm>
        <a:prstGeom prst="rect">
          <a:avLst/>
        </a:prstGeom>
        <a:solidFill>
          <a:srgbClr val="FFFF99"/>
        </a:solidFill>
        <a:ln w="9525">
          <a:solidFill>
            <a:srgbClr val="000000"/>
          </a:solidFill>
          <a:miter lim="800000"/>
          <a:headEnd/>
          <a:tailEnd/>
        </a:ln>
      </xdr:spPr>
      <xdr:txBody>
        <a:bodyPr vertOverflow="clip" wrap="square" lIns="45720" tIns="36576" rIns="45720" bIns="0" anchor="t" upright="1"/>
        <a:lstStyle/>
        <a:p>
          <a:pPr algn="ctr" rtl="0">
            <a:defRPr sz="1000"/>
          </a:pPr>
          <a:r>
            <a:rPr lang="en-US" sz="2200" b="0" i="0" u="none" strike="noStrike" baseline="0">
              <a:solidFill>
                <a:srgbClr val="000000"/>
              </a:solidFill>
              <a:latin typeface="Arial"/>
              <a:cs typeface="Arial"/>
            </a:rPr>
            <a:t>Analysis of Variance (ANOVA)</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11</xdr:col>
      <xdr:colOff>228600</xdr:colOff>
      <xdr:row>0</xdr:row>
      <xdr:rowOff>91440</xdr:rowOff>
    </xdr:from>
    <xdr:to>
      <xdr:col>19</xdr:col>
      <xdr:colOff>358140</xdr:colOff>
      <xdr:row>13</xdr:row>
      <xdr:rowOff>76200</xdr:rowOff>
    </xdr:to>
    <xdr:graphicFrame macro="">
      <xdr:nvGraphicFramePr>
        <xdr:cNvPr id="305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167640</xdr:colOff>
      <xdr:row>5</xdr:row>
      <xdr:rowOff>22860</xdr:rowOff>
    </xdr:from>
    <xdr:to>
      <xdr:col>4</xdr:col>
      <xdr:colOff>167640</xdr:colOff>
      <xdr:row>6</xdr:row>
      <xdr:rowOff>152400</xdr:rowOff>
    </xdr:to>
    <xdr:sp macro="" textlink="">
      <xdr:nvSpPr>
        <xdr:cNvPr id="3056" name="Line 6"/>
        <xdr:cNvSpPr>
          <a:spLocks noChangeShapeType="1"/>
        </xdr:cNvSpPr>
      </xdr:nvSpPr>
      <xdr:spPr bwMode="auto">
        <a:xfrm>
          <a:off x="1996440" y="845820"/>
          <a:ext cx="0" cy="5334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220980</xdr:colOff>
      <xdr:row>5</xdr:row>
      <xdr:rowOff>22860</xdr:rowOff>
    </xdr:from>
    <xdr:to>
      <xdr:col>3</xdr:col>
      <xdr:colOff>220980</xdr:colOff>
      <xdr:row>6</xdr:row>
      <xdr:rowOff>152400</xdr:rowOff>
    </xdr:to>
    <xdr:sp macro="" textlink="">
      <xdr:nvSpPr>
        <xdr:cNvPr id="3057" name="Line 7"/>
        <xdr:cNvSpPr>
          <a:spLocks noChangeShapeType="1"/>
        </xdr:cNvSpPr>
      </xdr:nvSpPr>
      <xdr:spPr bwMode="auto">
        <a:xfrm>
          <a:off x="1592580" y="845820"/>
          <a:ext cx="0" cy="5334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274320</xdr:colOff>
      <xdr:row>5</xdr:row>
      <xdr:rowOff>22860</xdr:rowOff>
    </xdr:from>
    <xdr:to>
      <xdr:col>2</xdr:col>
      <xdr:colOff>274320</xdr:colOff>
      <xdr:row>6</xdr:row>
      <xdr:rowOff>152400</xdr:rowOff>
    </xdr:to>
    <xdr:sp macro="" textlink="">
      <xdr:nvSpPr>
        <xdr:cNvPr id="3058" name="Line 8"/>
        <xdr:cNvSpPr>
          <a:spLocks noChangeShapeType="1"/>
        </xdr:cNvSpPr>
      </xdr:nvSpPr>
      <xdr:spPr bwMode="auto">
        <a:xfrm>
          <a:off x="1188720" y="845820"/>
          <a:ext cx="0" cy="5334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5.xml><?xml version="1.0" encoding="utf-8"?>
<xdr:wsDr xmlns:xdr="http://schemas.openxmlformats.org/drawingml/2006/spreadsheetDrawing" xmlns:a="http://schemas.openxmlformats.org/drawingml/2006/main">
  <xdr:twoCellAnchor>
    <xdr:from>
      <xdr:col>1</xdr:col>
      <xdr:colOff>221616</xdr:colOff>
      <xdr:row>1</xdr:row>
      <xdr:rowOff>43815</xdr:rowOff>
    </xdr:from>
    <xdr:to>
      <xdr:col>12</xdr:col>
      <xdr:colOff>570219</xdr:colOff>
      <xdr:row>3</xdr:row>
      <xdr:rowOff>165707</xdr:rowOff>
    </xdr:to>
    <xdr:sp macro="" textlink="">
      <xdr:nvSpPr>
        <xdr:cNvPr id="3" name="Text Box 1027"/>
        <xdr:cNvSpPr txBox="1">
          <a:spLocks noChangeArrowheads="1"/>
        </xdr:cNvSpPr>
      </xdr:nvSpPr>
      <xdr:spPr bwMode="auto">
        <a:xfrm>
          <a:off x="845821" y="401955"/>
          <a:ext cx="7932419" cy="550545"/>
        </a:xfrm>
        <a:prstGeom prst="rect">
          <a:avLst/>
        </a:prstGeom>
        <a:solidFill>
          <a:schemeClr val="bg2"/>
        </a:solidFill>
        <a:ln w="9525">
          <a:solidFill>
            <a:srgbClr val="000000"/>
          </a:solidFill>
          <a:miter lim="800000"/>
          <a:headEnd/>
          <a:tailEnd/>
        </a:ln>
      </xdr:spPr>
      <xdr:txBody>
        <a:bodyPr vertOverflow="clip" wrap="square" lIns="27432" tIns="22860" rIns="0" bIns="0" anchor="t" upright="1"/>
        <a:lstStyle/>
        <a:p>
          <a:pPr algn="l" rtl="0">
            <a:lnSpc>
              <a:spcPts val="1000"/>
            </a:lnSpc>
            <a:defRPr sz="1000"/>
          </a:pPr>
          <a:r>
            <a:rPr lang="en-US" sz="1000" b="0" i="0" u="none" strike="noStrike" baseline="0">
              <a:solidFill>
                <a:srgbClr val="000000"/>
              </a:solidFill>
              <a:latin typeface="Calibri"/>
              <a:ea typeface="Calibri"/>
              <a:cs typeface="Calibri"/>
            </a:rPr>
            <a:t>Suppose a study was conducted in Illinois to investigate the hypothesis that birth defects occurred more often in Illinois as compared to Minnesota. However, in this new study the authors thought that the type of water consumed could be related to birth defects. They wanted to adjust (standardize) the rates of defects in the two states for water type. Data from the two studies are compared as below. </a:t>
          </a:r>
        </a:p>
        <a:p>
          <a:pPr algn="l" rtl="0">
            <a:lnSpc>
              <a:spcPts val="900"/>
            </a:lnSpc>
            <a:defRPr sz="1000"/>
          </a:pPr>
          <a:endParaRPr lang="en-US" sz="1000" b="0" i="0" u="none" strike="noStrike" baseline="0">
            <a:solidFill>
              <a:srgbClr val="000000"/>
            </a:solidFill>
            <a:latin typeface="Calibri"/>
            <a:ea typeface="Calibri"/>
            <a:cs typeface="Calibri"/>
          </a:endParaRPr>
        </a:p>
      </xdr:txBody>
    </xdr:sp>
    <xdr:clientData/>
  </xdr:twoCellAnchor>
  <xdr:twoCellAnchor>
    <xdr:from>
      <xdr:col>12</xdr:col>
      <xdr:colOff>22860</xdr:colOff>
      <xdr:row>13</xdr:row>
      <xdr:rowOff>15240</xdr:rowOff>
    </xdr:from>
    <xdr:to>
      <xdr:col>24</xdr:col>
      <xdr:colOff>215913</xdr:colOff>
      <xdr:row>19</xdr:row>
      <xdr:rowOff>139686</xdr:rowOff>
    </xdr:to>
    <xdr:sp macro="" textlink="">
      <xdr:nvSpPr>
        <xdr:cNvPr id="5" name="TextBox 4"/>
        <xdr:cNvSpPr txBox="1"/>
      </xdr:nvSpPr>
      <xdr:spPr>
        <a:xfrm>
          <a:off x="8229600" y="2446020"/>
          <a:ext cx="7680960" cy="11353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en-US" sz="1100" b="0" i="0" u="none" strike="noStrike" baseline="0">
              <a:solidFill>
                <a:srgbClr val="000000"/>
              </a:solidFill>
              <a:latin typeface="Calibri"/>
              <a:ea typeface="Calibri"/>
              <a:cs typeface="Calibri"/>
            </a:rPr>
            <a:t>Suppose that after this publication came out, another study was conducted in Illinois to investigate the hypothesis that birth defects occurred more often in Illinois as compared to Minnesota. However, in this new study the authors thought that the type of water consumed could be related to birth defects. They wanted to adjust (standardize) the rates of defects in the two states for water type. Data from the two studies are compared as below. </a:t>
          </a:r>
        </a:p>
        <a:p>
          <a:pPr algn="l" rtl="0">
            <a:defRPr sz="1000"/>
          </a:pPr>
          <a:endParaRPr lang="en-US" sz="1100" b="0" i="0" u="none" strike="noStrike" baseline="0">
            <a:solidFill>
              <a:srgbClr val="000000"/>
            </a:solidFill>
            <a:latin typeface="Calibri"/>
            <a:ea typeface="Calibri"/>
            <a:cs typeface="Calibri"/>
          </a:endParaRPr>
        </a:p>
        <a:p>
          <a:pPr algn="l" rtl="0">
            <a:defRPr sz="1000"/>
          </a:pPr>
          <a:r>
            <a:rPr lang="en-US" sz="1100" b="0" i="0" u="none" strike="noStrike" baseline="0">
              <a:solidFill>
                <a:srgbClr val="000000"/>
              </a:solidFill>
              <a:latin typeface="Calibri"/>
              <a:ea typeface="Calibri"/>
              <a:cs typeface="Calibri"/>
            </a:rPr>
            <a:t>Births by state and water type Minnesota Pesticide Appliers Illinois Pesticide Appliers Normal With anomalies Normal With anomalies Water Type (#) (#) rate* (#) (#) rate* Well water only 3379 93 26.8 100 2 ____ City water only 874 27 30.0 200 6 ____ Bottled water only 206 5 23.7 7293 145 ____ Total 4456 125 28.0 7593 153 ____ * per 1000 live births a. calculate the crude rate and the water-type specific rates for Illinois. Briefly describe how these two states compare in crude rates of birth anomalies. (4 pts) b. Using the combined number of live births as a standard, calculate a standardized rate (standardized for water type) for each of the states. Briefly describe how these standardized rates compare with each other and reasons why they may or may not agree with the crude rates. (6 pts) </a:t>
          </a:r>
        </a:p>
      </xdr:txBody>
    </xdr:sp>
    <xdr:clientData/>
  </xdr:twoCellAnchor>
  <xdr:twoCellAnchor editAs="oneCell">
    <xdr:from>
      <xdr:col>9</xdr:col>
      <xdr:colOff>693420</xdr:colOff>
      <xdr:row>26</xdr:row>
      <xdr:rowOff>129540</xdr:rowOff>
    </xdr:from>
    <xdr:to>
      <xdr:col>23</xdr:col>
      <xdr:colOff>220980</xdr:colOff>
      <xdr:row>57</xdr:row>
      <xdr:rowOff>137160</xdr:rowOff>
    </xdr:to>
    <xdr:pic>
      <xdr:nvPicPr>
        <xdr:cNvPr id="1714500"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02780" y="4739640"/>
          <a:ext cx="8183880" cy="5204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411480</xdr:colOff>
      <xdr:row>8</xdr:row>
      <xdr:rowOff>274320</xdr:rowOff>
    </xdr:from>
    <xdr:to>
      <xdr:col>14</xdr:col>
      <xdr:colOff>213360</xdr:colOff>
      <xdr:row>10</xdr:row>
      <xdr:rowOff>38100</xdr:rowOff>
    </xdr:to>
    <xdr:grpSp>
      <xdr:nvGrpSpPr>
        <xdr:cNvPr id="3550279" name="Group 1"/>
        <xdr:cNvGrpSpPr>
          <a:grpSpLocks/>
        </xdr:cNvGrpSpPr>
      </xdr:nvGrpSpPr>
      <xdr:grpSpPr bwMode="auto">
        <a:xfrm>
          <a:off x="6949440" y="1874520"/>
          <a:ext cx="2301240" cy="845820"/>
          <a:chOff x="816" y="336"/>
          <a:chExt cx="1300" cy="529"/>
        </a:xfrm>
      </xdr:grpSpPr>
      <xdr:grpSp>
        <xdr:nvGrpSpPr>
          <xdr:cNvPr id="3550285" name="Group 2"/>
          <xdr:cNvGrpSpPr>
            <a:grpSpLocks/>
          </xdr:cNvGrpSpPr>
        </xdr:nvGrpSpPr>
        <xdr:grpSpPr bwMode="auto">
          <a:xfrm>
            <a:off x="1289" y="336"/>
            <a:ext cx="827" cy="529"/>
            <a:chOff x="1289" y="384"/>
            <a:chExt cx="827" cy="485"/>
          </a:xfrm>
        </xdr:grpSpPr>
        <xdr:sp macro="" textlink="">
          <xdr:nvSpPr>
            <xdr:cNvPr id="1027" name="Text Box 3"/>
            <xdr:cNvSpPr txBox="1">
              <a:spLocks noChangeArrowheads="1"/>
            </xdr:cNvSpPr>
          </xdr:nvSpPr>
          <xdr:spPr bwMode="auto">
            <a:xfrm>
              <a:off x="1578" y="450"/>
              <a:ext cx="461" cy="376"/>
            </a:xfrm>
            <a:prstGeom prst="rect">
              <a:avLst/>
            </a:prstGeom>
            <a:noFill/>
            <a:ln>
              <a:noFill/>
            </a:ln>
            <a:extLst/>
          </xdr:spPr>
          <xdr:txBody>
            <a:bodyPr vertOverflow="clip" wrap="square" lIns="91440" tIns="45720" rIns="91440" bIns="45720" anchor="t" upright="1"/>
            <a:lstStyle/>
            <a:p>
              <a:pPr algn="l" rtl="0">
                <a:lnSpc>
                  <a:spcPts val="1900"/>
                </a:lnSpc>
                <a:defRPr sz="1000"/>
              </a:pPr>
              <a:r>
                <a:rPr lang="en-US" sz="1800" b="0" i="0" u="none" strike="noStrike" baseline="0">
                  <a:solidFill>
                    <a:srgbClr val="000000"/>
                  </a:solidFill>
                  <a:latin typeface="Arial"/>
                  <a:ea typeface="Arial"/>
                  <a:cs typeface="Arial"/>
                </a:rPr>
                <a:t>(O-E)</a:t>
              </a:r>
            </a:p>
            <a:p>
              <a:pPr algn="l" rtl="0">
                <a:lnSpc>
                  <a:spcPts val="1900"/>
                </a:lnSpc>
                <a:defRPr sz="1000"/>
              </a:pPr>
              <a:r>
                <a:rPr lang="en-US" sz="1800" b="0" i="0" u="none" strike="noStrike" baseline="0">
                  <a:solidFill>
                    <a:srgbClr val="000000"/>
                  </a:solidFill>
                  <a:latin typeface="Arial"/>
                  <a:ea typeface="Arial"/>
                  <a:cs typeface="Arial"/>
                </a:rPr>
                <a:t>   E</a:t>
              </a:r>
            </a:p>
            <a:p>
              <a:pPr algn="l" rtl="0">
                <a:lnSpc>
                  <a:spcPts val="1800"/>
                </a:lnSpc>
                <a:defRPr sz="1000"/>
              </a:pPr>
              <a:endParaRPr lang="en-US" sz="1800" b="0" i="0" u="none" strike="noStrike" baseline="0">
                <a:solidFill>
                  <a:srgbClr val="000000"/>
                </a:solidFill>
                <a:latin typeface="Arial"/>
                <a:ea typeface="Arial"/>
                <a:cs typeface="Arial"/>
              </a:endParaRPr>
            </a:p>
          </xdr:txBody>
        </xdr:sp>
        <xdr:sp macro="" textlink="">
          <xdr:nvSpPr>
            <xdr:cNvPr id="1028" name="Text Box 4"/>
            <xdr:cNvSpPr txBox="1">
              <a:spLocks noChangeArrowheads="1"/>
            </xdr:cNvSpPr>
          </xdr:nvSpPr>
          <xdr:spPr bwMode="auto">
            <a:xfrm>
              <a:off x="1918" y="384"/>
              <a:ext cx="198" cy="218"/>
            </a:xfrm>
            <a:prstGeom prst="rect">
              <a:avLst/>
            </a:prstGeom>
            <a:noFill/>
            <a:ln>
              <a:noFill/>
            </a:ln>
            <a:extLst/>
          </xdr:spPr>
          <xdr:txBody>
            <a:bodyPr vertOverflow="clip" wrap="square" lIns="91440" tIns="45720" rIns="91440" bIns="45720" anchor="t" upright="1"/>
            <a:lstStyle/>
            <a:p>
              <a:pPr algn="l" rtl="0">
                <a:lnSpc>
                  <a:spcPts val="1800"/>
                </a:lnSpc>
                <a:defRPr sz="1000"/>
              </a:pPr>
              <a:r>
                <a:rPr lang="en-US" sz="1800" b="0" i="0" u="none" strike="noStrike" baseline="0">
                  <a:solidFill>
                    <a:srgbClr val="000000"/>
                  </a:solidFill>
                  <a:latin typeface="Arial"/>
                  <a:ea typeface="Arial"/>
                  <a:cs typeface="Arial"/>
                </a:rPr>
                <a:t>2</a:t>
              </a:r>
            </a:p>
            <a:p>
              <a:pPr algn="l" rtl="0">
                <a:lnSpc>
                  <a:spcPts val="1700"/>
                </a:lnSpc>
                <a:defRPr sz="1000"/>
              </a:pPr>
              <a:endParaRPr lang="en-US" sz="1800" b="0" i="0" u="none" strike="noStrike" baseline="0">
                <a:solidFill>
                  <a:srgbClr val="000000"/>
                </a:solidFill>
                <a:latin typeface="Arial"/>
                <a:ea typeface="Arial"/>
                <a:cs typeface="Arial"/>
              </a:endParaRPr>
            </a:p>
          </xdr:txBody>
        </xdr:sp>
        <xdr:sp macro="" textlink="">
          <xdr:nvSpPr>
            <xdr:cNvPr id="1029" name="Text Box 5"/>
            <xdr:cNvSpPr txBox="1">
              <a:spLocks noChangeArrowheads="1"/>
            </xdr:cNvSpPr>
          </xdr:nvSpPr>
          <xdr:spPr bwMode="auto">
            <a:xfrm>
              <a:off x="1290" y="397"/>
              <a:ext cx="349" cy="472"/>
            </a:xfrm>
            <a:prstGeom prst="rect">
              <a:avLst/>
            </a:prstGeom>
            <a:noFill/>
            <a:ln>
              <a:noFill/>
            </a:ln>
            <a:extLst/>
          </xdr:spPr>
          <xdr:txBody>
            <a:bodyPr vertOverflow="clip" wrap="square" lIns="91440" tIns="45720" rIns="91440" bIns="45720" anchor="t" upright="1"/>
            <a:lstStyle/>
            <a:p>
              <a:pPr algn="l" rtl="0">
                <a:lnSpc>
                  <a:spcPts val="5000"/>
                </a:lnSpc>
                <a:defRPr sz="1000"/>
              </a:pPr>
              <a:r>
                <a:rPr lang="en-US" sz="4800" b="0" i="0" u="none" strike="noStrike" baseline="0">
                  <a:solidFill>
                    <a:srgbClr val="000000"/>
                  </a:solidFill>
                  <a:latin typeface="Symbol"/>
                  <a:ea typeface="Symbol"/>
                  <a:cs typeface="Symbol"/>
                </a:rPr>
                <a:t></a:t>
              </a:r>
            </a:p>
            <a:p>
              <a:pPr algn="l" rtl="0">
                <a:lnSpc>
                  <a:spcPts val="4900"/>
                </a:lnSpc>
                <a:defRPr sz="1000"/>
              </a:pPr>
              <a:endParaRPr lang="en-US" sz="4800" b="0" i="0" u="none" strike="noStrike" baseline="0">
                <a:solidFill>
                  <a:srgbClr val="000000"/>
                </a:solidFill>
                <a:latin typeface="Symbol"/>
                <a:ea typeface="Symbol"/>
                <a:cs typeface="Symbol"/>
              </a:endParaRPr>
            </a:p>
          </xdr:txBody>
        </xdr:sp>
        <xdr:sp macro="" textlink="">
          <xdr:nvSpPr>
            <xdr:cNvPr id="3550291" name="Line 6"/>
            <xdr:cNvSpPr>
              <a:spLocks noChangeShapeType="1"/>
            </xdr:cNvSpPr>
          </xdr:nvSpPr>
          <xdr:spPr bwMode="auto">
            <a:xfrm>
              <a:off x="1584" y="672"/>
              <a:ext cx="432"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1031" name="Text Box 7"/>
          <xdr:cNvSpPr txBox="1">
            <a:spLocks noChangeArrowheads="1"/>
          </xdr:cNvSpPr>
        </xdr:nvSpPr>
        <xdr:spPr bwMode="auto">
          <a:xfrm>
            <a:off x="816" y="450"/>
            <a:ext cx="607" cy="367"/>
          </a:xfrm>
          <a:prstGeom prst="rect">
            <a:avLst/>
          </a:prstGeom>
          <a:noFill/>
          <a:ln>
            <a:noFill/>
          </a:ln>
          <a:extLst/>
        </xdr:spPr>
        <xdr:txBody>
          <a:bodyPr vertOverflow="clip" wrap="square" lIns="91440" tIns="45720" rIns="91440" bIns="45720" anchor="t" upright="1"/>
          <a:lstStyle/>
          <a:p>
            <a:pPr algn="l" rtl="0">
              <a:lnSpc>
                <a:spcPts val="3900"/>
              </a:lnSpc>
              <a:defRPr sz="1000"/>
            </a:pPr>
            <a:r>
              <a:rPr lang="en-US" sz="3200" b="0" i="0" u="none" strike="noStrike" baseline="0">
                <a:solidFill>
                  <a:srgbClr val="000000"/>
                </a:solidFill>
                <a:latin typeface="Symbol"/>
                <a:ea typeface="Symbol"/>
                <a:cs typeface="Symbol"/>
              </a:rPr>
              <a:t></a:t>
            </a:r>
            <a:r>
              <a:rPr lang="en-US" sz="3200" b="0" i="0" u="none" strike="noStrike" baseline="0">
                <a:solidFill>
                  <a:srgbClr val="000000"/>
                </a:solidFill>
                <a:latin typeface="Arial"/>
                <a:ea typeface="Arial"/>
                <a:cs typeface="Arial"/>
              </a:rPr>
              <a:t>=</a:t>
            </a:r>
          </a:p>
          <a:p>
            <a:pPr algn="l" rtl="0">
              <a:lnSpc>
                <a:spcPts val="3500"/>
              </a:lnSpc>
              <a:defRPr sz="1000"/>
            </a:pPr>
            <a:endParaRPr lang="en-US" sz="3200" b="0" i="0" u="none" strike="noStrike" baseline="0">
              <a:solidFill>
                <a:srgbClr val="000000"/>
              </a:solidFill>
              <a:latin typeface="Arial"/>
              <a:ea typeface="Arial"/>
              <a:cs typeface="Arial"/>
            </a:endParaRPr>
          </a:p>
        </xdr:txBody>
      </xdr:sp>
      <xdr:sp macro="" textlink="">
        <xdr:nvSpPr>
          <xdr:cNvPr id="1032" name="Text Box 8"/>
          <xdr:cNvSpPr txBox="1">
            <a:spLocks noChangeArrowheads="1"/>
          </xdr:cNvSpPr>
        </xdr:nvSpPr>
        <xdr:spPr bwMode="auto">
          <a:xfrm>
            <a:off x="958" y="479"/>
            <a:ext cx="198" cy="234"/>
          </a:xfrm>
          <a:prstGeom prst="rect">
            <a:avLst/>
          </a:prstGeom>
          <a:noFill/>
          <a:ln>
            <a:noFill/>
          </a:ln>
          <a:extLst/>
        </xdr:spPr>
        <xdr:txBody>
          <a:bodyPr vertOverflow="clip" wrap="square" lIns="91440" tIns="45720" rIns="91440" bIns="45720" anchor="t" upright="1"/>
          <a:lstStyle/>
          <a:p>
            <a:pPr algn="l" rtl="0">
              <a:lnSpc>
                <a:spcPts val="1800"/>
              </a:lnSpc>
              <a:defRPr sz="1000"/>
            </a:pPr>
            <a:r>
              <a:rPr lang="en-US" sz="1800" b="0" i="0" u="none" strike="noStrike" baseline="0">
                <a:solidFill>
                  <a:srgbClr val="000000"/>
                </a:solidFill>
                <a:latin typeface="Arial"/>
                <a:ea typeface="Arial"/>
                <a:cs typeface="Arial"/>
              </a:rPr>
              <a:t>2</a:t>
            </a:r>
          </a:p>
          <a:p>
            <a:pPr algn="l" rtl="0">
              <a:lnSpc>
                <a:spcPts val="1700"/>
              </a:lnSpc>
              <a:defRPr sz="1000"/>
            </a:pPr>
            <a:endParaRPr lang="en-US" sz="1800" b="0" i="0" u="none" strike="noStrike" baseline="0">
              <a:solidFill>
                <a:srgbClr val="000000"/>
              </a:solidFill>
              <a:latin typeface="Arial"/>
              <a:ea typeface="Arial"/>
              <a:cs typeface="Arial"/>
            </a:endParaRPr>
          </a:p>
        </xdr:txBody>
      </xdr:sp>
    </xdr:grpSp>
    <xdr:clientData/>
  </xdr:twoCellAnchor>
  <xdr:twoCellAnchor>
    <xdr:from>
      <xdr:col>6</xdr:col>
      <xdr:colOff>91440</xdr:colOff>
      <xdr:row>5</xdr:row>
      <xdr:rowOff>144780</xdr:rowOff>
    </xdr:from>
    <xdr:to>
      <xdr:col>6</xdr:col>
      <xdr:colOff>594360</xdr:colOff>
      <xdr:row>7</xdr:row>
      <xdr:rowOff>0</xdr:rowOff>
    </xdr:to>
    <xdr:sp macro="" textlink="">
      <xdr:nvSpPr>
        <xdr:cNvPr id="3550280" name="Line 9"/>
        <xdr:cNvSpPr>
          <a:spLocks noChangeShapeType="1"/>
        </xdr:cNvSpPr>
      </xdr:nvSpPr>
      <xdr:spPr bwMode="auto">
        <a:xfrm flipV="1">
          <a:off x="4282440" y="1242060"/>
          <a:ext cx="502920" cy="1905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693420</xdr:colOff>
      <xdr:row>6</xdr:row>
      <xdr:rowOff>30480</xdr:rowOff>
    </xdr:from>
    <xdr:to>
      <xdr:col>8</xdr:col>
      <xdr:colOff>381000</xdr:colOff>
      <xdr:row>6</xdr:row>
      <xdr:rowOff>129540</xdr:rowOff>
    </xdr:to>
    <xdr:sp macro="" textlink="">
      <xdr:nvSpPr>
        <xdr:cNvPr id="3550281" name="Line 10"/>
        <xdr:cNvSpPr>
          <a:spLocks noChangeShapeType="1"/>
        </xdr:cNvSpPr>
      </xdr:nvSpPr>
      <xdr:spPr bwMode="auto">
        <a:xfrm flipV="1">
          <a:off x="4884420" y="1295400"/>
          <a:ext cx="1158240" cy="9906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594360</xdr:colOff>
      <xdr:row>10</xdr:row>
      <xdr:rowOff>0</xdr:rowOff>
    </xdr:from>
    <xdr:to>
      <xdr:col>1</xdr:col>
      <xdr:colOff>38100</xdr:colOff>
      <xdr:row>12</xdr:row>
      <xdr:rowOff>45720</xdr:rowOff>
    </xdr:to>
    <xdr:sp macro="" textlink="">
      <xdr:nvSpPr>
        <xdr:cNvPr id="3550282" name="Line 12"/>
        <xdr:cNvSpPr>
          <a:spLocks noChangeShapeType="1"/>
        </xdr:cNvSpPr>
      </xdr:nvSpPr>
      <xdr:spPr bwMode="auto">
        <a:xfrm>
          <a:off x="594360" y="2682240"/>
          <a:ext cx="335280" cy="41148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381000</xdr:colOff>
      <xdr:row>8</xdr:row>
      <xdr:rowOff>312420</xdr:rowOff>
    </xdr:from>
    <xdr:to>
      <xdr:col>10</xdr:col>
      <xdr:colOff>411480</xdr:colOff>
      <xdr:row>8</xdr:row>
      <xdr:rowOff>609600</xdr:rowOff>
    </xdr:to>
    <xdr:sp macro="" textlink="">
      <xdr:nvSpPr>
        <xdr:cNvPr id="3550283" name="Line 13"/>
        <xdr:cNvSpPr>
          <a:spLocks noChangeShapeType="1"/>
        </xdr:cNvSpPr>
      </xdr:nvSpPr>
      <xdr:spPr bwMode="auto">
        <a:xfrm>
          <a:off x="6042660" y="1912620"/>
          <a:ext cx="906780" cy="29718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372745</xdr:colOff>
      <xdr:row>0</xdr:row>
      <xdr:rowOff>47625</xdr:rowOff>
    </xdr:from>
    <xdr:to>
      <xdr:col>2</xdr:col>
      <xdr:colOff>621105</xdr:colOff>
      <xdr:row>0</xdr:row>
      <xdr:rowOff>381000</xdr:rowOff>
    </xdr:to>
    <xdr:sp macro="" textlink="">
      <xdr:nvSpPr>
        <xdr:cNvPr id="1038" name="Text Box 14"/>
        <xdr:cNvSpPr txBox="1">
          <a:spLocks noChangeArrowheads="1"/>
        </xdr:cNvSpPr>
      </xdr:nvSpPr>
      <xdr:spPr bwMode="auto">
        <a:xfrm>
          <a:off x="361950" y="47625"/>
          <a:ext cx="1828800" cy="333375"/>
        </a:xfrm>
        <a:prstGeom prst="rect">
          <a:avLst/>
        </a:prstGeom>
        <a:solidFill>
          <a:srgbClr val="FFFF99"/>
        </a:solidFill>
        <a:ln w="9525">
          <a:solidFill>
            <a:srgbClr val="000000"/>
          </a:solidFill>
          <a:miter lim="800000"/>
          <a:headEnd/>
          <a:tailEnd/>
        </a:ln>
      </xdr:spPr>
      <xdr:txBody>
        <a:bodyPr vertOverflow="clip" wrap="square" lIns="36576" tIns="27432" rIns="36576" bIns="27432" anchor="ctr" upright="1"/>
        <a:lstStyle/>
        <a:p>
          <a:pPr algn="ctr" rtl="0">
            <a:defRPr sz="1000"/>
          </a:pPr>
          <a:r>
            <a:rPr lang="en-US" sz="1400" b="0" i="0" u="none" strike="noStrike" baseline="0">
              <a:solidFill>
                <a:srgbClr val="008000"/>
              </a:solidFill>
              <a:latin typeface="Arial"/>
              <a:cs typeface="Arial"/>
            </a:rPr>
            <a:t>Chi Squared Test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182880</xdr:colOff>
      <xdr:row>1</xdr:row>
      <xdr:rowOff>68580</xdr:rowOff>
    </xdr:from>
    <xdr:to>
      <xdr:col>16</xdr:col>
      <xdr:colOff>411480</xdr:colOff>
      <xdr:row>17</xdr:row>
      <xdr:rowOff>182880</xdr:rowOff>
    </xdr:to>
    <xdr:graphicFrame macro="">
      <xdr:nvGraphicFramePr>
        <xdr:cNvPr id="2108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40005</xdr:colOff>
      <xdr:row>13</xdr:row>
      <xdr:rowOff>51435</xdr:rowOff>
    </xdr:from>
    <xdr:to>
      <xdr:col>4</xdr:col>
      <xdr:colOff>608660</xdr:colOff>
      <xdr:row>13</xdr:row>
      <xdr:rowOff>185905</xdr:rowOff>
    </xdr:to>
    <xdr:sp macro="" textlink="">
      <xdr:nvSpPr>
        <xdr:cNvPr id="8" name="Right Arrow 7"/>
        <xdr:cNvSpPr/>
      </xdr:nvSpPr>
      <xdr:spPr>
        <a:xfrm>
          <a:off x="2057400" y="2571750"/>
          <a:ext cx="1154907" cy="11906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drawings/drawing5.xml><?xml version="1.0" encoding="utf-8"?>
<c:userShapes xmlns:c="http://schemas.openxmlformats.org/drawingml/2006/chart">
  <cdr:relSizeAnchor xmlns:cdr="http://schemas.openxmlformats.org/drawingml/2006/chartDrawing">
    <cdr:from>
      <cdr:x>0.15838</cdr:x>
      <cdr:y>0.76967</cdr:y>
    </cdr:from>
    <cdr:to>
      <cdr:x>0.15838</cdr:x>
      <cdr:y>0.76967</cdr:y>
    </cdr:to>
    <cdr:sp macro="" textlink="">
      <cdr:nvSpPr>
        <cdr:cNvPr id="2" name="Line 4"/>
        <cdr:cNvSpPr>
          <a:spLocks xmlns:a="http://schemas.openxmlformats.org/drawingml/2006/main" noChangeShapeType="1"/>
        </cdr:cNvSpPr>
      </cdr:nvSpPr>
      <cdr:spPr bwMode="auto">
        <a:xfrm xmlns:a="http://schemas.openxmlformats.org/drawingml/2006/main" flipV="1">
          <a:off x="704851" y="2281027"/>
          <a:ext cx="3609974" cy="4973"/>
        </a:xfrm>
        <a:prstGeom xmlns:a="http://schemas.openxmlformats.org/drawingml/2006/main" prst="line">
          <a:avLst/>
        </a:prstGeom>
        <a:noFill xmlns:a="http://schemas.openxmlformats.org/drawingml/2006/main"/>
        <a:ln xmlns:a="http://schemas.openxmlformats.org/drawingml/2006/main" w="19050">
          <a:solidFill>
            <a:srgbClr val="000000"/>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0.1554</cdr:x>
      <cdr:y>0.72895</cdr:y>
    </cdr:from>
    <cdr:to>
      <cdr:x>0.15564</cdr:x>
      <cdr:y>0.72871</cdr:y>
    </cdr:to>
    <cdr:sp macro="" textlink="">
      <cdr:nvSpPr>
        <cdr:cNvPr id="3" name="Line 5"/>
        <cdr:cNvSpPr>
          <a:spLocks xmlns:a="http://schemas.openxmlformats.org/drawingml/2006/main" noChangeShapeType="1"/>
        </cdr:cNvSpPr>
      </cdr:nvSpPr>
      <cdr:spPr bwMode="auto">
        <a:xfrm xmlns:a="http://schemas.openxmlformats.org/drawingml/2006/main" flipV="1">
          <a:off x="695326" y="2163898"/>
          <a:ext cx="3619499" cy="7802"/>
        </a:xfrm>
        <a:prstGeom xmlns:a="http://schemas.openxmlformats.org/drawingml/2006/main" prst="line">
          <a:avLst/>
        </a:prstGeom>
        <a:noFill xmlns:a="http://schemas.openxmlformats.org/drawingml/2006/main"/>
        <a:ln xmlns:a="http://schemas.openxmlformats.org/drawingml/2006/main" w="19050">
          <a:solidFill>
            <a:srgbClr val="000000"/>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0.16405</cdr:x>
      <cdr:y>0.64792</cdr:y>
    </cdr:from>
    <cdr:to>
      <cdr:x>0.99754</cdr:x>
      <cdr:y>0.65063</cdr:y>
    </cdr:to>
    <cdr:sp macro="" textlink="">
      <cdr:nvSpPr>
        <cdr:cNvPr id="4" name="Line 6"/>
        <cdr:cNvSpPr>
          <a:spLocks xmlns:a="http://schemas.openxmlformats.org/drawingml/2006/main" noChangeShapeType="1"/>
        </cdr:cNvSpPr>
      </cdr:nvSpPr>
      <cdr:spPr bwMode="auto">
        <a:xfrm xmlns:a="http://schemas.openxmlformats.org/drawingml/2006/main" flipV="1">
          <a:off x="695326" y="1943099"/>
          <a:ext cx="3609976" cy="9524"/>
        </a:xfrm>
        <a:prstGeom xmlns:a="http://schemas.openxmlformats.org/drawingml/2006/main" prst="line">
          <a:avLst/>
        </a:prstGeom>
        <a:noFill xmlns:a="http://schemas.openxmlformats.org/drawingml/2006/main"/>
        <a:ln xmlns:a="http://schemas.openxmlformats.org/drawingml/2006/main" w="19050">
          <a:solidFill>
            <a:srgbClr val="000000"/>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0.58146</cdr:x>
      <cdr:y>0.74726</cdr:y>
    </cdr:from>
    <cdr:to>
      <cdr:x>0.75881</cdr:x>
      <cdr:y>0.79773</cdr:y>
    </cdr:to>
    <cdr:sp macro="" textlink="">
      <cdr:nvSpPr>
        <cdr:cNvPr id="5" name="Text Box 9"/>
        <cdr:cNvSpPr txBox="1">
          <a:spLocks xmlns:a="http://schemas.openxmlformats.org/drawingml/2006/main" noChangeArrowheads="1"/>
        </cdr:cNvSpPr>
      </cdr:nvSpPr>
      <cdr:spPr bwMode="auto">
        <a:xfrm xmlns:a="http://schemas.openxmlformats.org/drawingml/2006/main">
          <a:off x="2504738" y="2240727"/>
          <a:ext cx="773618" cy="147590"/>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800" b="0" i="0" u="none" strike="noStrike" baseline="0">
              <a:solidFill>
                <a:srgbClr val="000000"/>
              </a:solidFill>
              <a:latin typeface="Arial"/>
              <a:cs typeface="Arial"/>
            </a:rPr>
            <a:t>95% confidence</a:t>
          </a:r>
        </a:p>
      </cdr:txBody>
    </cdr:sp>
  </cdr:relSizeAnchor>
  <cdr:relSizeAnchor xmlns:cdr="http://schemas.openxmlformats.org/drawingml/2006/chartDrawing">
    <cdr:from>
      <cdr:x>0.58342</cdr:x>
      <cdr:y>0.68776</cdr:y>
    </cdr:from>
    <cdr:to>
      <cdr:x>0.76078</cdr:x>
      <cdr:y>0.73857</cdr:y>
    </cdr:to>
    <cdr:sp macro="" textlink="">
      <cdr:nvSpPr>
        <cdr:cNvPr id="6" name="Text Box 10"/>
        <cdr:cNvSpPr txBox="1">
          <a:spLocks xmlns:a="http://schemas.openxmlformats.org/drawingml/2006/main" noChangeArrowheads="1"/>
        </cdr:cNvSpPr>
      </cdr:nvSpPr>
      <cdr:spPr bwMode="auto">
        <a:xfrm xmlns:a="http://schemas.openxmlformats.org/drawingml/2006/main">
          <a:off x="2514263" y="2063359"/>
          <a:ext cx="773618" cy="150050"/>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800" b="0" i="0" u="none" strike="noStrike" baseline="0">
              <a:solidFill>
                <a:srgbClr val="000000"/>
              </a:solidFill>
              <a:latin typeface="Arial"/>
              <a:cs typeface="Arial"/>
            </a:rPr>
            <a:t>90% confidence</a:t>
          </a:r>
        </a:p>
      </cdr:txBody>
    </cdr:sp>
  </cdr:relSizeAnchor>
  <cdr:relSizeAnchor xmlns:cdr="http://schemas.openxmlformats.org/drawingml/2006/chartDrawing">
    <cdr:from>
      <cdr:x>0.58311</cdr:x>
      <cdr:y>0.61536</cdr:y>
    </cdr:from>
    <cdr:to>
      <cdr:x>0.76047</cdr:x>
      <cdr:y>0.66448</cdr:y>
    </cdr:to>
    <cdr:sp macro="" textlink="">
      <cdr:nvSpPr>
        <cdr:cNvPr id="7" name="Text Box 11"/>
        <cdr:cNvSpPr txBox="1">
          <a:spLocks xmlns:a="http://schemas.openxmlformats.org/drawingml/2006/main" noChangeArrowheads="1"/>
        </cdr:cNvSpPr>
      </cdr:nvSpPr>
      <cdr:spPr bwMode="auto">
        <a:xfrm xmlns:a="http://schemas.openxmlformats.org/drawingml/2006/main">
          <a:off x="2512892" y="1843177"/>
          <a:ext cx="773618" cy="150049"/>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800" b="0" i="0" u="none" strike="noStrike" baseline="0">
              <a:solidFill>
                <a:srgbClr val="000000"/>
              </a:solidFill>
              <a:latin typeface="Arial"/>
              <a:cs typeface="Arial"/>
            </a:rPr>
            <a:t>80% confidence</a:t>
          </a:r>
        </a:p>
      </cdr:txBody>
    </cdr:sp>
  </cdr:relSizeAnchor>
</c:userShapes>
</file>

<file path=xl/drawings/drawing6.xml><?xml version="1.0" encoding="utf-8"?>
<xdr:wsDr xmlns:xdr="http://schemas.openxmlformats.org/drawingml/2006/spreadsheetDrawing" xmlns:a="http://schemas.openxmlformats.org/drawingml/2006/main">
  <xdr:twoCellAnchor>
    <xdr:from>
      <xdr:col>1</xdr:col>
      <xdr:colOff>1906</xdr:colOff>
      <xdr:row>1</xdr:row>
      <xdr:rowOff>28576</xdr:rowOff>
    </xdr:from>
    <xdr:to>
      <xdr:col>8</xdr:col>
      <xdr:colOff>212054</xdr:colOff>
      <xdr:row>36</xdr:row>
      <xdr:rowOff>85726</xdr:rowOff>
    </xdr:to>
    <xdr:sp macro="" textlink="">
      <xdr:nvSpPr>
        <xdr:cNvPr id="2" name="TextBox 1"/>
        <xdr:cNvSpPr txBox="1"/>
      </xdr:nvSpPr>
      <xdr:spPr>
        <a:xfrm>
          <a:off x="619126" y="342901"/>
          <a:ext cx="6981824" cy="603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en-US" sz="1100" b="1" i="0" u="none" strike="noStrike" baseline="0">
              <a:solidFill>
                <a:srgbClr val="000000"/>
              </a:solidFill>
              <a:latin typeface="Calibri"/>
              <a:ea typeface="Calibri"/>
              <a:cs typeface="Calibri"/>
            </a:rPr>
            <a:t> </a:t>
          </a:r>
          <a:r>
            <a:rPr lang="en-US" sz="1600" b="1" i="0" u="none" strike="noStrike" baseline="0">
              <a:solidFill>
                <a:srgbClr val="000000"/>
              </a:solidFill>
              <a:latin typeface="Calibri"/>
              <a:ea typeface="Calibri"/>
              <a:cs typeface="Calibri"/>
            </a:rPr>
            <a:t>Relationship of Incidence Rate to Cumulative Incidence (Risk) </a:t>
          </a:r>
        </a:p>
        <a:p>
          <a:pPr algn="l" rtl="0">
            <a:defRPr sz="1000"/>
          </a:pPr>
          <a:r>
            <a:rPr lang="en-US" sz="1100" b="0" i="0" u="none" strike="noStrike" baseline="0">
              <a:solidFill>
                <a:srgbClr val="000000"/>
              </a:solidFill>
              <a:latin typeface="Calibri"/>
              <a:ea typeface="Calibri"/>
              <a:cs typeface="Calibri"/>
            </a:rPr>
            <a:t>Cumulative incidence (the proportion of a population at risk that will develop an outcome in a given period of time) provides a measure of risk, and it is an intuitive way to think about possible health outcomes. An incidence rate is less intuitive because it is really an estimate of the instantaneous rate of disease, i.e. the rate at which new cases are occurring at any paricular moment. Incidence rate is therefore more analgous to the speed of a car, which is typically expressed in miles per hour. Time has to elapse to measure a car's speed, but we don't have to wait a whole hour; we can glance at the speedometer to see the instanteous rate of travel. Rather than measuring risk per se, incidence rate measures the rate at which new cases of disease occur per unit of time, and time is an integral part of the calculation of incidence rate. In contrast, cumulative incidence or risk assesses the probability of an event occurring during a stated period of observation. Consequently, it is essential to describe the relevant time period in words when discussing cumulative incidence (risk), but time is not an integral part of the calculation. Despite this distinction, these two ways of expressing incidence are obviously related, and incidence rate can be used to estimate cumulative incidence. At first glance it would seem logical that, if the incidence rate remained constant the cumulative incidence would be equal to the incidence rate times time: </a:t>
          </a:r>
        </a:p>
        <a:p>
          <a:pPr algn="l" rtl="0">
            <a:defRPr sz="1000"/>
          </a:pPr>
          <a:r>
            <a:rPr lang="en-US" sz="1100" b="0" i="0" u="none" strike="noStrike" baseline="0">
              <a:solidFill>
                <a:srgbClr val="000000"/>
              </a:solidFill>
              <a:latin typeface="Calibri"/>
              <a:ea typeface="Calibri"/>
              <a:cs typeface="Calibri"/>
            </a:rPr>
            <a:t>                                                                                                               CI = IR x T </a:t>
          </a:r>
        </a:p>
        <a:p>
          <a:pPr algn="l" rtl="0">
            <a:defRPr sz="1000"/>
          </a:pPr>
          <a:r>
            <a:rPr lang="en-US" sz="1100" b="0" i="0" u="none" strike="noStrike" baseline="0">
              <a:solidFill>
                <a:srgbClr val="000000"/>
              </a:solidFill>
              <a:latin typeface="Calibri"/>
              <a:ea typeface="Calibri"/>
              <a:cs typeface="Calibri"/>
            </a:rPr>
            <a:t>This relationship would hold true if the population were infinitely large, but in a finite population this approximation becomes increasingly inaccurate over time because the size of the population at risk declines over time. Rothman uses the example of a population of 1,000 people who experience a mortality rate of 11 deaths per 1,000 person-years over a period of years; in other words, the rate remains constant. The equation above would lead us to believe that after 50 years the cumulative incidence of death would be CI = IR X T = 11 X 50 = 550 deaths in a population which initally had 1,000 members. In realtity, there would only be 423 deaths after 50 years. The problem is that the equation above fails to take into account the fact that the size of the population at risk declines over time. After the first year there have been 11 deaths, and the population now has only 989 people, not 1,000. As a result, the equation above overestimates the cumulative incidence, because there is an exponential decay in the population at risk. A more accurate mathematical expression that takes this into account is: </a:t>
          </a:r>
        </a:p>
        <a:p>
          <a:pPr algn="l" rtl="0">
            <a:defRPr sz="1000"/>
          </a:pPr>
          <a:r>
            <a:rPr lang="en-US" sz="1100" b="0" i="0" u="none" strike="noStrike" baseline="0">
              <a:solidFill>
                <a:srgbClr val="000000"/>
              </a:solidFill>
              <a:latin typeface="Calibri"/>
              <a:ea typeface="Calibri"/>
              <a:cs typeface="Calibri"/>
            </a:rPr>
            <a:t>                                                                                                 CI = 1 - e</a:t>
          </a:r>
          <a:r>
            <a:rPr lang="en-US" sz="1100" b="0" i="0" u="none" strike="noStrike" baseline="30000">
              <a:solidFill>
                <a:srgbClr val="000000"/>
              </a:solidFill>
              <a:latin typeface="Calibri"/>
              <a:ea typeface="Calibri"/>
              <a:cs typeface="Calibri"/>
            </a:rPr>
            <a:t>(-IR x T)</a:t>
          </a:r>
          <a:r>
            <a:rPr lang="en-US" sz="1100" b="0" i="0" u="none" strike="noStrike" baseline="0">
              <a:solidFill>
                <a:srgbClr val="000000"/>
              </a:solidFill>
              <a:latin typeface="Calibri"/>
              <a:ea typeface="Calibri"/>
              <a:cs typeface="Calibri"/>
            </a:rPr>
            <a:t>, where 'e' = 2.71828 </a:t>
          </a:r>
        </a:p>
        <a:p>
          <a:pPr algn="l" rtl="0">
            <a:defRPr sz="1000"/>
          </a:pPr>
          <a:r>
            <a:rPr lang="en-US" sz="1100" b="0" i="0" u="none" strike="noStrike" baseline="0">
              <a:solidFill>
                <a:srgbClr val="000000"/>
              </a:solidFill>
              <a:latin typeface="Calibri"/>
              <a:ea typeface="Calibri"/>
              <a:cs typeface="Calibri"/>
            </a:rPr>
            <a:t>This constant 'e' arises in many mathematical relationships describing growth or decay over time. If you are using an Excel spreadsheet, you could calculate the CI using the formula: </a:t>
          </a:r>
        </a:p>
        <a:p>
          <a:pPr algn="l" rtl="0">
            <a:defRPr sz="1000"/>
          </a:pPr>
          <a:r>
            <a:rPr lang="en-US" sz="1100" b="0" i="0" u="none" strike="noStrike" baseline="0">
              <a:solidFill>
                <a:srgbClr val="000000"/>
              </a:solidFill>
              <a:latin typeface="Calibri"/>
              <a:ea typeface="Calibri"/>
              <a:cs typeface="Calibri"/>
            </a:rPr>
            <a:t>                                                                                                             CI = 1 - EXP(-IR xT) </a:t>
          </a:r>
        </a:p>
        <a:p>
          <a:pPr algn="l" rtl="0">
            <a:defRPr sz="1000"/>
          </a:pPr>
          <a:r>
            <a:rPr lang="en-US" sz="1100" b="0" i="0" u="none" strike="noStrike" baseline="0">
              <a:solidFill>
                <a:srgbClr val="000000"/>
              </a:solidFill>
              <a:latin typeface="Calibri"/>
              <a:ea typeface="Calibri"/>
              <a:cs typeface="Calibri"/>
            </a:rPr>
            <a:t>  </a:t>
          </a:r>
        </a:p>
        <a:p>
          <a:pPr algn="l" rtl="0">
            <a:defRPr sz="1000"/>
          </a:pPr>
          <a:r>
            <a:rPr lang="en-US" sz="1100" b="0" i="0" u="none" strike="noStrike" baseline="0">
              <a:solidFill>
                <a:srgbClr val="000000"/>
              </a:solidFill>
              <a:latin typeface="Calibri"/>
              <a:ea typeface="Calibri"/>
              <a:cs typeface="Calibri"/>
            </a:rPr>
            <a:t>In the graph below the upper blue line shows the predicted number of deaths using the approximation CI = IR x T. The lower line, in red, shows the more accurate projection of cumulative deaths using the exponential equation. </a:t>
          </a:r>
        </a:p>
        <a:p>
          <a:pPr algn="l" rtl="0">
            <a:defRPr sz="1000"/>
          </a:pPr>
          <a:r>
            <a:rPr lang="en-US" sz="1100" b="0" i="0" u="none" strike="noStrike" baseline="0">
              <a:solidFill>
                <a:srgbClr val="000000"/>
              </a:solidFill>
              <a:latin typeface="Calibri"/>
              <a:ea typeface="Calibri"/>
              <a:cs typeface="Calibri"/>
            </a:rPr>
            <a:t>  </a:t>
          </a:r>
        </a:p>
        <a:p>
          <a:pPr algn="l" rtl="0">
            <a:defRPr sz="1000"/>
          </a:pPr>
          <a:r>
            <a:rPr lang="en-US" sz="1100" b="0" i="0" u="none" strike="noStrike" baseline="0">
              <a:solidFill>
                <a:srgbClr val="000000"/>
              </a:solidFill>
              <a:latin typeface="Calibri"/>
              <a:ea typeface="Calibri"/>
              <a:cs typeface="Calibri"/>
            </a:rPr>
            <a:t>Nevertheless, note that the prediction from CI = IR x T gives quite reasonable estimates in the early years of follow-up. </a:t>
          </a:r>
        </a:p>
      </xdr:txBody>
    </xdr:sp>
    <xdr:clientData/>
  </xdr:twoCellAnchor>
  <xdr:twoCellAnchor>
    <xdr:from>
      <xdr:col>8</xdr:col>
      <xdr:colOff>419100</xdr:colOff>
      <xdr:row>21</xdr:row>
      <xdr:rowOff>99060</xdr:rowOff>
    </xdr:from>
    <xdr:to>
      <xdr:col>15</xdr:col>
      <xdr:colOff>563880</xdr:colOff>
      <xdr:row>36</xdr:row>
      <xdr:rowOff>137160</xdr:rowOff>
    </xdr:to>
    <xdr:graphicFrame macro="">
      <xdr:nvGraphicFramePr>
        <xdr:cNvPr id="2187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10</xdr:col>
      <xdr:colOff>114300</xdr:colOff>
      <xdr:row>0</xdr:row>
      <xdr:rowOff>358140</xdr:rowOff>
    </xdr:from>
    <xdr:to>
      <xdr:col>20</xdr:col>
      <xdr:colOff>22860</xdr:colOff>
      <xdr:row>23</xdr:row>
      <xdr:rowOff>167640</xdr:rowOff>
    </xdr:to>
    <xdr:graphicFrame macro="">
      <xdr:nvGraphicFramePr>
        <xdr:cNvPr id="281440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16</xdr:col>
      <xdr:colOff>243999</xdr:colOff>
      <xdr:row>18</xdr:row>
      <xdr:rowOff>142399</xdr:rowOff>
    </xdr:from>
    <xdr:to>
      <xdr:col>18</xdr:col>
      <xdr:colOff>14916</xdr:colOff>
      <xdr:row>19</xdr:row>
      <xdr:rowOff>92289</xdr:rowOff>
    </xdr:to>
    <xdr:sp macro="" textlink="">
      <xdr:nvSpPr>
        <xdr:cNvPr id="22537" name="Text Box 9"/>
        <xdr:cNvSpPr txBox="1">
          <a:spLocks noChangeArrowheads="1"/>
        </xdr:cNvSpPr>
      </xdr:nvSpPr>
      <xdr:spPr bwMode="auto">
        <a:xfrm>
          <a:off x="11475244" y="3826669"/>
          <a:ext cx="676275" cy="1428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ctr" rtl="0">
            <a:lnSpc>
              <a:spcPts val="600"/>
            </a:lnSpc>
            <a:defRPr sz="1000"/>
          </a:pPr>
          <a:r>
            <a:rPr lang="en-US" sz="800" b="0" i="0" u="none" strike="noStrike" baseline="0">
              <a:solidFill>
                <a:srgbClr val="000000"/>
              </a:solidFill>
              <a:latin typeface="Arial"/>
              <a:cs typeface="Arial"/>
            </a:rPr>
            <a:t>95% confidence</a:t>
          </a:r>
        </a:p>
      </xdr:txBody>
    </xdr:sp>
    <xdr:clientData/>
  </xdr:twoCellAnchor>
  <xdr:twoCellAnchor>
    <xdr:from>
      <xdr:col>16</xdr:col>
      <xdr:colOff>232093</xdr:colOff>
      <xdr:row>17</xdr:row>
      <xdr:rowOff>116205</xdr:rowOff>
    </xdr:from>
    <xdr:to>
      <xdr:col>18</xdr:col>
      <xdr:colOff>6116</xdr:colOff>
      <xdr:row>18</xdr:row>
      <xdr:rowOff>71230</xdr:rowOff>
    </xdr:to>
    <xdr:sp macro="" textlink="">
      <xdr:nvSpPr>
        <xdr:cNvPr id="22538" name="Text Box 10"/>
        <xdr:cNvSpPr txBox="1">
          <a:spLocks noChangeArrowheads="1"/>
        </xdr:cNvSpPr>
      </xdr:nvSpPr>
      <xdr:spPr bwMode="auto">
        <a:xfrm>
          <a:off x="11463338" y="3636169"/>
          <a:ext cx="676275" cy="145256"/>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r>
            <a:rPr lang="en-US" sz="800" b="0" i="0" u="none" strike="noStrike" baseline="0">
              <a:solidFill>
                <a:srgbClr val="000000"/>
              </a:solidFill>
              <a:latin typeface="Arial"/>
              <a:cs typeface="Arial"/>
            </a:rPr>
            <a:t>90% confidence</a:t>
          </a:r>
        </a:p>
      </xdr:txBody>
    </xdr:sp>
    <xdr:clientData/>
  </xdr:twoCellAnchor>
  <xdr:twoCellAnchor>
    <xdr:from>
      <xdr:col>16</xdr:col>
      <xdr:colOff>232093</xdr:colOff>
      <xdr:row>16</xdr:row>
      <xdr:rowOff>76200</xdr:rowOff>
    </xdr:from>
    <xdr:to>
      <xdr:col>18</xdr:col>
      <xdr:colOff>1646</xdr:colOff>
      <xdr:row>17</xdr:row>
      <xdr:rowOff>4720</xdr:rowOff>
    </xdr:to>
    <xdr:sp macro="" textlink="">
      <xdr:nvSpPr>
        <xdr:cNvPr id="22539" name="Text Box 11"/>
        <xdr:cNvSpPr txBox="1">
          <a:spLocks noChangeArrowheads="1"/>
        </xdr:cNvSpPr>
      </xdr:nvSpPr>
      <xdr:spPr bwMode="auto">
        <a:xfrm>
          <a:off x="11453813" y="3386138"/>
          <a:ext cx="676275" cy="145256"/>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lnSpc>
              <a:spcPts val="700"/>
            </a:lnSpc>
            <a:defRPr sz="1000"/>
          </a:pPr>
          <a:r>
            <a:rPr lang="en-US" sz="800" b="0" i="0" u="none" strike="noStrike" baseline="0">
              <a:solidFill>
                <a:srgbClr val="000000"/>
              </a:solidFill>
              <a:latin typeface="Arial"/>
              <a:cs typeface="Arial"/>
            </a:rPr>
            <a:t>80% confidence</a:t>
          </a:r>
        </a:p>
      </xdr:txBody>
    </xdr:sp>
    <xdr:clientData/>
  </xdr:twoCellAnchor>
  <xdr:twoCellAnchor>
    <xdr:from>
      <xdr:col>3</xdr:col>
      <xdr:colOff>44050</xdr:colOff>
      <xdr:row>10</xdr:row>
      <xdr:rowOff>44769</xdr:rowOff>
    </xdr:from>
    <xdr:to>
      <xdr:col>5</xdr:col>
      <xdr:colOff>57937</xdr:colOff>
      <xdr:row>10</xdr:row>
      <xdr:rowOff>178714</xdr:rowOff>
    </xdr:to>
    <xdr:sp macro="" textlink="">
      <xdr:nvSpPr>
        <xdr:cNvPr id="2" name="Right Arrow 1"/>
        <xdr:cNvSpPr/>
      </xdr:nvSpPr>
      <xdr:spPr>
        <a:xfrm>
          <a:off x="2631306" y="2125073"/>
          <a:ext cx="1182719" cy="12606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3</xdr:col>
      <xdr:colOff>46688</xdr:colOff>
      <xdr:row>11</xdr:row>
      <xdr:rowOff>71436</xdr:rowOff>
    </xdr:from>
    <xdr:to>
      <xdr:col>5</xdr:col>
      <xdr:colOff>40183</xdr:colOff>
      <xdr:row>12</xdr:row>
      <xdr:rowOff>9057</xdr:rowOff>
    </xdr:to>
    <xdr:sp macro="" textlink="">
      <xdr:nvSpPr>
        <xdr:cNvPr id="10" name="Right Arrow 9"/>
        <xdr:cNvSpPr/>
      </xdr:nvSpPr>
      <xdr:spPr>
        <a:xfrm>
          <a:off x="2633944" y="2348576"/>
          <a:ext cx="1171937" cy="13991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3</xdr:col>
      <xdr:colOff>150336</xdr:colOff>
      <xdr:row>29</xdr:row>
      <xdr:rowOff>53751</xdr:rowOff>
    </xdr:from>
    <xdr:to>
      <xdr:col>5</xdr:col>
      <xdr:colOff>164292</xdr:colOff>
      <xdr:row>29</xdr:row>
      <xdr:rowOff>185901</xdr:rowOff>
    </xdr:to>
    <xdr:sp macro="" textlink="">
      <xdr:nvSpPr>
        <xdr:cNvPr id="11" name="Right Arrow 10"/>
        <xdr:cNvSpPr/>
      </xdr:nvSpPr>
      <xdr:spPr>
        <a:xfrm>
          <a:off x="2667000" y="5548247"/>
          <a:ext cx="1071563" cy="11906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3</xdr:col>
      <xdr:colOff>154622</xdr:colOff>
      <xdr:row>30</xdr:row>
      <xdr:rowOff>40889</xdr:rowOff>
    </xdr:from>
    <xdr:to>
      <xdr:col>5</xdr:col>
      <xdr:colOff>165413</xdr:colOff>
      <xdr:row>30</xdr:row>
      <xdr:rowOff>187323</xdr:rowOff>
    </xdr:to>
    <xdr:sp macro="" textlink="">
      <xdr:nvSpPr>
        <xdr:cNvPr id="12" name="Right Arrow 11"/>
        <xdr:cNvSpPr/>
      </xdr:nvSpPr>
      <xdr:spPr>
        <a:xfrm>
          <a:off x="2678906" y="5724457"/>
          <a:ext cx="1060761" cy="13494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18</xdr:col>
      <xdr:colOff>272415</xdr:colOff>
      <xdr:row>36</xdr:row>
      <xdr:rowOff>41275</xdr:rowOff>
    </xdr:from>
    <xdr:to>
      <xdr:col>23</xdr:col>
      <xdr:colOff>434979</xdr:colOff>
      <xdr:row>36</xdr:row>
      <xdr:rowOff>41275</xdr:rowOff>
    </xdr:to>
    <xdr:cxnSp macro="">
      <xdr:nvCxnSpPr>
        <xdr:cNvPr id="1361615" name="Straight Connector 13"/>
        <xdr:cNvCxnSpPr>
          <a:cxnSpLocks noChangeShapeType="1"/>
        </xdr:cNvCxnSpPr>
      </xdr:nvCxnSpPr>
      <xdr:spPr bwMode="auto">
        <a:xfrm>
          <a:off x="14998700" y="6718300"/>
          <a:ext cx="3060700" cy="0"/>
        </a:xfrm>
        <a:prstGeom prst="line">
          <a:avLst/>
        </a:prstGeom>
        <a:noFill/>
        <a:ln w="57150">
          <a:solidFill>
            <a:srgbClr val="FF0000"/>
          </a:solidFill>
          <a:round/>
          <a:headEnd/>
          <a:tailEnd/>
        </a:ln>
        <a:effectLst/>
        <a:extLst>
          <a:ext uri="{AF507438-7753-43E0-B8FC-AC1667EBCBE1}">
            <a14:hiddenEffects xmlns:a14="http://schemas.microsoft.com/office/drawing/2010/main">
              <a:effectLst>
                <a:outerShdw blurRad="63500" dist="38099" dir="2700000" algn="ctr" rotWithShape="0">
                  <a:srgbClr val="EEECE1">
                    <a:alpha val="74998"/>
                  </a:srgbClr>
                </a:outerShdw>
              </a:effectLst>
            </a14:hiddenEffects>
          </a:ext>
        </a:extLst>
      </xdr:spPr>
    </xdr:cxnSp>
    <xdr:clientData/>
  </xdr:twoCellAnchor>
</xdr:wsDr>
</file>

<file path=xl/drawings/drawing8.xml><?xml version="1.0" encoding="utf-8"?>
<c:userShapes xmlns:c="http://schemas.openxmlformats.org/drawingml/2006/chart">
  <cdr:relSizeAnchor xmlns:cdr="http://schemas.openxmlformats.org/drawingml/2006/chartDrawing">
    <cdr:from>
      <cdr:x>0.54941</cdr:x>
      <cdr:y>0.17942</cdr:y>
    </cdr:from>
    <cdr:to>
      <cdr:x>0.54941</cdr:x>
      <cdr:y>0.81894</cdr:y>
    </cdr:to>
    <cdr:sp macro="" textlink="">
      <cdr:nvSpPr>
        <cdr:cNvPr id="23553" name="Line 1"/>
        <cdr:cNvSpPr>
          <a:spLocks xmlns:a="http://schemas.openxmlformats.org/drawingml/2006/main" noChangeShapeType="1"/>
        </cdr:cNvSpPr>
      </cdr:nvSpPr>
      <cdr:spPr bwMode="auto">
        <a:xfrm xmlns:a="http://schemas.openxmlformats.org/drawingml/2006/main" flipV="1">
          <a:off x="2478803" y="632770"/>
          <a:ext cx="0" cy="2237621"/>
        </a:xfrm>
        <a:prstGeom xmlns:a="http://schemas.openxmlformats.org/drawingml/2006/main" prst="line">
          <a:avLst/>
        </a:prstGeom>
        <a:noFill xmlns:a="http://schemas.openxmlformats.org/drawingml/2006/main"/>
        <a:ln xmlns:a="http://schemas.openxmlformats.org/drawingml/2006/main" w="38100">
          <a:solidFill>
            <a:srgbClr val="000000"/>
          </a:solidFill>
          <a:round/>
          <a:headEnd/>
          <a:tailEnd/>
        </a:ln>
        <a:ex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0.33836</cdr:x>
      <cdr:y>0.68856</cdr:y>
    </cdr:from>
    <cdr:to>
      <cdr:x>0.78716</cdr:x>
      <cdr:y>0.68856</cdr:y>
    </cdr:to>
    <cdr:cxnSp macro="">
      <cdr:nvCxnSpPr>
        <cdr:cNvPr id="2422786" name="Straight Connector 2"/>
        <cdr:cNvCxnSpPr>
          <a:cxnSpLocks xmlns:a="http://schemas.openxmlformats.org/drawingml/2006/main" noChangeShapeType="1"/>
        </cdr:cNvCxnSpPr>
      </cdr:nvCxnSpPr>
      <cdr:spPr bwMode="auto">
        <a:xfrm xmlns:a="http://schemas.openxmlformats.org/drawingml/2006/main">
          <a:off x="2067433" y="3021667"/>
          <a:ext cx="2746534" cy="0"/>
        </a:xfrm>
        <a:prstGeom xmlns:a="http://schemas.openxmlformats.org/drawingml/2006/main" prst="line">
          <a:avLst/>
        </a:prstGeom>
        <a:noFill xmlns:a="http://schemas.openxmlformats.org/drawingml/2006/main"/>
        <a:ln xmlns:a="http://schemas.openxmlformats.org/drawingml/2006/main" w="57150">
          <a:solidFill>
            <a:srgbClr val="FF0000"/>
          </a:solidFill>
          <a:round/>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EEECE1"/>
                </a:outerShdw>
              </a:effectLst>
            </a14:hiddenEffects>
          </a:ext>
        </a:extLst>
      </cdr:spPr>
    </cdr:cxnSp>
  </cdr:relSizeAnchor>
  <cdr:relSizeAnchor xmlns:cdr="http://schemas.openxmlformats.org/drawingml/2006/chartDrawing">
    <cdr:from>
      <cdr:x>0.34328</cdr:x>
      <cdr:y>0.75393</cdr:y>
    </cdr:from>
    <cdr:to>
      <cdr:x>0.79182</cdr:x>
      <cdr:y>0.75393</cdr:y>
    </cdr:to>
    <cdr:cxnSp macro="">
      <cdr:nvCxnSpPr>
        <cdr:cNvPr id="2422787" name="Straight Connector 3"/>
        <cdr:cNvCxnSpPr>
          <a:cxnSpLocks xmlns:a="http://schemas.openxmlformats.org/drawingml/2006/main" noChangeShapeType="1"/>
        </cdr:cNvCxnSpPr>
      </cdr:nvCxnSpPr>
      <cdr:spPr bwMode="auto">
        <a:xfrm xmlns:a="http://schemas.openxmlformats.org/drawingml/2006/main">
          <a:off x="2100542" y="3309101"/>
          <a:ext cx="2746534" cy="0"/>
        </a:xfrm>
        <a:prstGeom xmlns:a="http://schemas.openxmlformats.org/drawingml/2006/main" prst="line">
          <a:avLst/>
        </a:prstGeom>
        <a:noFill xmlns:a="http://schemas.openxmlformats.org/drawingml/2006/main"/>
        <a:ln xmlns:a="http://schemas.openxmlformats.org/drawingml/2006/main" w="57150">
          <a:solidFill>
            <a:srgbClr val="FF0000"/>
          </a:solidFill>
          <a:round/>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EEECE1"/>
                </a:outerShdw>
              </a:effectLst>
            </a14:hiddenEffects>
          </a:ext>
        </a:extLst>
      </cdr:spPr>
    </cdr:cxnSp>
  </cdr:relSizeAnchor>
  <cdr:relSizeAnchor xmlns:cdr="http://schemas.openxmlformats.org/drawingml/2006/chartDrawing">
    <cdr:from>
      <cdr:x>0.34179</cdr:x>
      <cdr:y>0.78784</cdr:y>
    </cdr:from>
    <cdr:to>
      <cdr:x>0.79109</cdr:x>
      <cdr:y>0.78784</cdr:y>
    </cdr:to>
    <cdr:cxnSp macro="">
      <cdr:nvCxnSpPr>
        <cdr:cNvPr id="2422788" name="Straight Connector 4"/>
        <cdr:cNvCxnSpPr>
          <a:cxnSpLocks xmlns:a="http://schemas.openxmlformats.org/drawingml/2006/main" noChangeShapeType="1"/>
        </cdr:cNvCxnSpPr>
      </cdr:nvCxnSpPr>
      <cdr:spPr bwMode="auto">
        <a:xfrm xmlns:a="http://schemas.openxmlformats.org/drawingml/2006/main">
          <a:off x="2091512" y="3459253"/>
          <a:ext cx="2746534" cy="0"/>
        </a:xfrm>
        <a:prstGeom xmlns:a="http://schemas.openxmlformats.org/drawingml/2006/main" prst="line">
          <a:avLst/>
        </a:prstGeom>
        <a:noFill xmlns:a="http://schemas.openxmlformats.org/drawingml/2006/main"/>
        <a:ln xmlns:a="http://schemas.openxmlformats.org/drawingml/2006/main" w="57150">
          <a:solidFill>
            <a:srgbClr val="FF0000"/>
          </a:solidFill>
          <a:round/>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EEECE1"/>
                </a:outerShdw>
              </a:effectLst>
            </a14:hiddenEffects>
          </a:ext>
        </a:extLst>
      </cdr:spPr>
    </cdr:cxnSp>
  </cdr:relSizeAnchor>
</c:userShapes>
</file>

<file path=xl/drawings/drawing9.xml><?xml version="1.0" encoding="utf-8"?>
<xdr:wsDr xmlns:xdr="http://schemas.openxmlformats.org/drawingml/2006/spreadsheetDrawing" xmlns:a="http://schemas.openxmlformats.org/drawingml/2006/main">
  <xdr:twoCellAnchor>
    <xdr:from>
      <xdr:col>1</xdr:col>
      <xdr:colOff>129540</xdr:colOff>
      <xdr:row>28</xdr:row>
      <xdr:rowOff>106680</xdr:rowOff>
    </xdr:from>
    <xdr:to>
      <xdr:col>1</xdr:col>
      <xdr:colOff>411480</xdr:colOff>
      <xdr:row>29</xdr:row>
      <xdr:rowOff>144780</xdr:rowOff>
    </xdr:to>
    <xdr:sp macro="" textlink="">
      <xdr:nvSpPr>
        <xdr:cNvPr id="1984216" name="Freeform 1"/>
        <xdr:cNvSpPr>
          <a:spLocks/>
        </xdr:cNvSpPr>
      </xdr:nvSpPr>
      <xdr:spPr bwMode="auto">
        <a:xfrm>
          <a:off x="754380" y="5166360"/>
          <a:ext cx="281940" cy="205740"/>
        </a:xfrm>
        <a:custGeom>
          <a:avLst/>
          <a:gdLst>
            <a:gd name="T0" fmla="*/ 0 w 29"/>
            <a:gd name="T1" fmla="*/ 2147483646 h 22"/>
            <a:gd name="T2" fmla="*/ 2147483646 w 29"/>
            <a:gd name="T3" fmla="*/ 2147483646 h 22"/>
            <a:gd name="T4" fmla="*/ 2147483646 w 29"/>
            <a:gd name="T5" fmla="*/ 2147483646 h 22"/>
            <a:gd name="T6" fmla="*/ 0 60000 65536"/>
            <a:gd name="T7" fmla="*/ 0 60000 65536"/>
            <a:gd name="T8" fmla="*/ 0 60000 65536"/>
            <a:gd name="T9" fmla="*/ 0 w 29"/>
            <a:gd name="T10" fmla="*/ 0 h 22"/>
            <a:gd name="T11" fmla="*/ 29 w 29"/>
            <a:gd name="T12" fmla="*/ 22 h 22"/>
          </a:gdLst>
          <a:ahLst/>
          <a:cxnLst>
            <a:cxn ang="T6">
              <a:pos x="T0" y="T1"/>
            </a:cxn>
            <a:cxn ang="T7">
              <a:pos x="T2" y="T3"/>
            </a:cxn>
            <a:cxn ang="T8">
              <a:pos x="T4" y="T5"/>
            </a:cxn>
          </a:cxnLst>
          <a:rect l="T9" t="T10" r="T11" b="T12"/>
          <a:pathLst>
            <a:path w="29" h="22">
              <a:moveTo>
                <a:pt x="0" y="2"/>
              </a:moveTo>
              <a:cubicBezTo>
                <a:pt x="9" y="1"/>
                <a:pt x="18" y="0"/>
                <a:pt x="23" y="3"/>
              </a:cubicBezTo>
              <a:cubicBezTo>
                <a:pt x="28" y="6"/>
                <a:pt x="28" y="14"/>
                <a:pt x="29" y="22"/>
              </a:cubicBezTo>
            </a:path>
          </a:pathLst>
        </a:custGeom>
        <a:noFill/>
        <a:ln w="28575" cmpd="sng">
          <a:solidFill>
            <a:srgbClr val="000000"/>
          </a:solidFill>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205740</xdr:colOff>
      <xdr:row>13</xdr:row>
      <xdr:rowOff>121920</xdr:rowOff>
    </xdr:from>
    <xdr:to>
      <xdr:col>1</xdr:col>
      <xdr:colOff>487680</xdr:colOff>
      <xdr:row>15</xdr:row>
      <xdr:rowOff>0</xdr:rowOff>
    </xdr:to>
    <xdr:sp macro="" textlink="">
      <xdr:nvSpPr>
        <xdr:cNvPr id="1984217" name="Freeform 2"/>
        <xdr:cNvSpPr>
          <a:spLocks/>
        </xdr:cNvSpPr>
      </xdr:nvSpPr>
      <xdr:spPr bwMode="auto">
        <a:xfrm>
          <a:off x="830580" y="2506980"/>
          <a:ext cx="281940" cy="213360"/>
        </a:xfrm>
        <a:custGeom>
          <a:avLst/>
          <a:gdLst>
            <a:gd name="T0" fmla="*/ 0 w 29"/>
            <a:gd name="T1" fmla="*/ 2147483646 h 22"/>
            <a:gd name="T2" fmla="*/ 2147483646 w 29"/>
            <a:gd name="T3" fmla="*/ 2147483646 h 22"/>
            <a:gd name="T4" fmla="*/ 2147483646 w 29"/>
            <a:gd name="T5" fmla="*/ 2147483646 h 22"/>
            <a:gd name="T6" fmla="*/ 0 60000 65536"/>
            <a:gd name="T7" fmla="*/ 0 60000 65536"/>
            <a:gd name="T8" fmla="*/ 0 60000 65536"/>
            <a:gd name="T9" fmla="*/ 0 w 29"/>
            <a:gd name="T10" fmla="*/ 0 h 22"/>
            <a:gd name="T11" fmla="*/ 29 w 29"/>
            <a:gd name="T12" fmla="*/ 22 h 22"/>
          </a:gdLst>
          <a:ahLst/>
          <a:cxnLst>
            <a:cxn ang="T6">
              <a:pos x="T0" y="T1"/>
            </a:cxn>
            <a:cxn ang="T7">
              <a:pos x="T2" y="T3"/>
            </a:cxn>
            <a:cxn ang="T8">
              <a:pos x="T4" y="T5"/>
            </a:cxn>
          </a:cxnLst>
          <a:rect l="T9" t="T10" r="T11" b="T12"/>
          <a:pathLst>
            <a:path w="29" h="22">
              <a:moveTo>
                <a:pt x="0" y="2"/>
              </a:moveTo>
              <a:cubicBezTo>
                <a:pt x="9" y="1"/>
                <a:pt x="18" y="0"/>
                <a:pt x="23" y="3"/>
              </a:cubicBezTo>
              <a:cubicBezTo>
                <a:pt x="28" y="6"/>
                <a:pt x="28" y="14"/>
                <a:pt x="29" y="22"/>
              </a:cubicBezTo>
            </a:path>
          </a:pathLst>
        </a:custGeom>
        <a:noFill/>
        <a:ln w="28575" cmpd="sng">
          <a:solidFill>
            <a:srgbClr val="000000"/>
          </a:solidFill>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289560</xdr:colOff>
      <xdr:row>29</xdr:row>
      <xdr:rowOff>106680</xdr:rowOff>
    </xdr:from>
    <xdr:to>
      <xdr:col>1</xdr:col>
      <xdr:colOff>563880</xdr:colOff>
      <xdr:row>30</xdr:row>
      <xdr:rowOff>144780</xdr:rowOff>
    </xdr:to>
    <xdr:sp macro="" textlink="">
      <xdr:nvSpPr>
        <xdr:cNvPr id="1984218" name="Freeform 3"/>
        <xdr:cNvSpPr>
          <a:spLocks/>
        </xdr:cNvSpPr>
      </xdr:nvSpPr>
      <xdr:spPr bwMode="auto">
        <a:xfrm>
          <a:off x="914400" y="5334000"/>
          <a:ext cx="274320" cy="205740"/>
        </a:xfrm>
        <a:custGeom>
          <a:avLst/>
          <a:gdLst>
            <a:gd name="T0" fmla="*/ 0 w 29"/>
            <a:gd name="T1" fmla="*/ 2147483646 h 22"/>
            <a:gd name="T2" fmla="*/ 2147483646 w 29"/>
            <a:gd name="T3" fmla="*/ 2147483646 h 22"/>
            <a:gd name="T4" fmla="*/ 2147483646 w 29"/>
            <a:gd name="T5" fmla="*/ 2147483646 h 22"/>
            <a:gd name="T6" fmla="*/ 0 60000 65536"/>
            <a:gd name="T7" fmla="*/ 0 60000 65536"/>
            <a:gd name="T8" fmla="*/ 0 60000 65536"/>
            <a:gd name="T9" fmla="*/ 0 w 29"/>
            <a:gd name="T10" fmla="*/ 0 h 22"/>
            <a:gd name="T11" fmla="*/ 29 w 29"/>
            <a:gd name="T12" fmla="*/ 22 h 22"/>
          </a:gdLst>
          <a:ahLst/>
          <a:cxnLst>
            <a:cxn ang="T6">
              <a:pos x="T0" y="T1"/>
            </a:cxn>
            <a:cxn ang="T7">
              <a:pos x="T2" y="T3"/>
            </a:cxn>
            <a:cxn ang="T8">
              <a:pos x="T4" y="T5"/>
            </a:cxn>
          </a:cxnLst>
          <a:rect l="T9" t="T10" r="T11" b="T12"/>
          <a:pathLst>
            <a:path w="29" h="22">
              <a:moveTo>
                <a:pt x="0" y="2"/>
              </a:moveTo>
              <a:cubicBezTo>
                <a:pt x="9" y="1"/>
                <a:pt x="18" y="0"/>
                <a:pt x="23" y="3"/>
              </a:cubicBezTo>
              <a:cubicBezTo>
                <a:pt x="28" y="6"/>
                <a:pt x="28" y="14"/>
                <a:pt x="29" y="22"/>
              </a:cubicBezTo>
            </a:path>
          </a:pathLst>
        </a:custGeom>
        <a:noFill/>
        <a:ln w="28575" cmpd="sng">
          <a:solidFill>
            <a:srgbClr val="000000"/>
          </a:solidFill>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111760</xdr:colOff>
      <xdr:row>22</xdr:row>
      <xdr:rowOff>76200</xdr:rowOff>
    </xdr:from>
    <xdr:to>
      <xdr:col>13</xdr:col>
      <xdr:colOff>267327</xdr:colOff>
      <xdr:row>25</xdr:row>
      <xdr:rowOff>109338</xdr:rowOff>
    </xdr:to>
    <xdr:sp macro="" textlink="">
      <xdr:nvSpPr>
        <xdr:cNvPr id="7172" name="Text Box 4"/>
        <xdr:cNvSpPr txBox="1">
          <a:spLocks noChangeArrowheads="1"/>
        </xdr:cNvSpPr>
      </xdr:nvSpPr>
      <xdr:spPr bwMode="auto">
        <a:xfrm>
          <a:off x="1943100" y="4038600"/>
          <a:ext cx="6305550" cy="523875"/>
        </a:xfrm>
        <a:prstGeom prst="rect">
          <a:avLst/>
        </a:prstGeom>
        <a:solidFill>
          <a:srgbClr val="FFFF99"/>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The cells in the table below show the estimated number of subjects needed in each group to demonstrate a statistically significant differenence at "p" values ranging from 0.10-0.01 and at varying levels of "power." [Power is the probability of finding a statistically significant difference, assuming it exists, at a given "p" value.]</a:t>
          </a:r>
        </a:p>
      </xdr:txBody>
    </xdr:sp>
    <xdr:clientData/>
  </xdr:twoCellAnchor>
  <xdr:twoCellAnchor>
    <xdr:from>
      <xdr:col>3</xdr:col>
      <xdr:colOff>172085</xdr:colOff>
      <xdr:row>4</xdr:row>
      <xdr:rowOff>91440</xdr:rowOff>
    </xdr:from>
    <xdr:to>
      <xdr:col>8</xdr:col>
      <xdr:colOff>611439</xdr:colOff>
      <xdr:row>10</xdr:row>
      <xdr:rowOff>109381</xdr:rowOff>
    </xdr:to>
    <xdr:sp macro="" textlink="">
      <xdr:nvSpPr>
        <xdr:cNvPr id="7173" name="Text Box 5"/>
        <xdr:cNvSpPr txBox="1">
          <a:spLocks noChangeArrowheads="1"/>
        </xdr:cNvSpPr>
      </xdr:nvSpPr>
      <xdr:spPr bwMode="auto">
        <a:xfrm>
          <a:off x="1990725" y="962025"/>
          <a:ext cx="3476625" cy="1000125"/>
        </a:xfrm>
        <a:prstGeom prst="rect">
          <a:avLst/>
        </a:prstGeom>
        <a:solidFill>
          <a:srgbClr val="FFFF99"/>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The cells in the table below show the estimated number of subjects needed in each group to demonstrate a statistically significant differenence at "p" values ranging from 0.10-0.01 and at varying levels of "power." [Power is the probability of finding a statistically significant difference, assuming it exists, at a given "p" value.]</a:t>
          </a:r>
        </a:p>
      </xdr:txBody>
    </xdr:sp>
    <xdr:clientData/>
  </xdr:twoCellAnchor>
  <xdr:twoCellAnchor>
    <xdr:from>
      <xdr:col>0</xdr:col>
      <xdr:colOff>73660</xdr:colOff>
      <xdr:row>1</xdr:row>
      <xdr:rowOff>66675</xdr:rowOff>
    </xdr:from>
    <xdr:to>
      <xdr:col>7</xdr:col>
      <xdr:colOff>183518</xdr:colOff>
      <xdr:row>2</xdr:row>
      <xdr:rowOff>161925</xdr:rowOff>
    </xdr:to>
    <xdr:sp macro="" textlink="">
      <xdr:nvSpPr>
        <xdr:cNvPr id="7174" name="Text Box 6"/>
        <xdr:cNvSpPr txBox="1">
          <a:spLocks noChangeArrowheads="1"/>
        </xdr:cNvSpPr>
      </xdr:nvSpPr>
      <xdr:spPr bwMode="auto">
        <a:xfrm>
          <a:off x="76200" y="438150"/>
          <a:ext cx="4371975" cy="257175"/>
        </a:xfrm>
        <a:prstGeom prst="rect">
          <a:avLst/>
        </a:prstGeom>
        <a:solidFill>
          <a:srgbClr val="CCFFCC"/>
        </a:solidFill>
        <a:ln w="9525">
          <a:solidFill>
            <a:srgbClr val="000000"/>
          </a:solid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000000"/>
              </a:solidFill>
              <a:latin typeface="Arial"/>
              <a:cs typeface="Arial"/>
            </a:rPr>
            <a:t>Part I - Sample Size Calculations for Means</a:t>
          </a:r>
        </a:p>
      </xdr:txBody>
    </xdr:sp>
    <xdr:clientData/>
  </xdr:twoCellAnchor>
  <xdr:twoCellAnchor>
    <xdr:from>
      <xdr:col>0</xdr:col>
      <xdr:colOff>0</xdr:colOff>
      <xdr:row>20</xdr:row>
      <xdr:rowOff>38100</xdr:rowOff>
    </xdr:from>
    <xdr:to>
      <xdr:col>10</xdr:col>
      <xdr:colOff>98427</xdr:colOff>
      <xdr:row>20</xdr:row>
      <xdr:rowOff>278245</xdr:rowOff>
    </xdr:to>
    <xdr:sp macro="" textlink="">
      <xdr:nvSpPr>
        <xdr:cNvPr id="7176" name="Text Box 8"/>
        <xdr:cNvSpPr txBox="1">
          <a:spLocks noChangeArrowheads="1"/>
        </xdr:cNvSpPr>
      </xdr:nvSpPr>
      <xdr:spPr bwMode="auto">
        <a:xfrm>
          <a:off x="0" y="3505200"/>
          <a:ext cx="6181725" cy="247650"/>
        </a:xfrm>
        <a:prstGeom prst="rect">
          <a:avLst/>
        </a:prstGeom>
        <a:solidFill>
          <a:srgbClr val="CCFFCC"/>
        </a:solidFill>
        <a:ln w="9525">
          <a:solidFill>
            <a:srgbClr val="000000"/>
          </a:solid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000000"/>
              </a:solidFill>
              <a:latin typeface="Arial"/>
              <a:cs typeface="Arial"/>
            </a:rPr>
            <a:t>Part II - Sample Size Calculations for a Difference in Proportions (frequency)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matforsk.no/ola/fisher.htm"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7.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hyperlink" Target="http://www.langsrud.com/fisher.htm" TargetMode="External"/><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hyperlink" Target="http://www.langsrud.com/fisher.htm" TargetMode="External"/><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election activeCell="B9" sqref="B9"/>
    </sheetView>
  </sheetViews>
  <sheetFormatPr defaultColWidth="8.7109375" defaultRowHeight="12.75" x14ac:dyDescent="0.2"/>
  <cols>
    <col min="1" max="1" width="45.42578125" customWidth="1"/>
    <col min="2" max="2" width="49.140625" customWidth="1"/>
    <col min="3" max="3" width="44.7109375" customWidth="1"/>
  </cols>
  <sheetData>
    <row r="1" spans="1:3" ht="47.25" customHeight="1" x14ac:dyDescent="0.2">
      <c r="B1" s="201" t="s">
        <v>244</v>
      </c>
    </row>
    <row r="2" spans="1:3" ht="39.75" customHeight="1" x14ac:dyDescent="0.2">
      <c r="B2" s="200" t="s">
        <v>245</v>
      </c>
    </row>
    <row r="3" spans="1:3" ht="26.25" customHeight="1" x14ac:dyDescent="0.25">
      <c r="A3" s="390" t="s">
        <v>191</v>
      </c>
      <c r="B3" s="391"/>
      <c r="C3" s="392"/>
    </row>
    <row r="4" spans="1:3" s="145" customFormat="1" ht="15.75" x14ac:dyDescent="0.25">
      <c r="A4" s="145" t="s">
        <v>177</v>
      </c>
      <c r="B4" s="145" t="s">
        <v>176</v>
      </c>
      <c r="C4" s="145" t="s">
        <v>182</v>
      </c>
    </row>
    <row r="5" spans="1:3" x14ac:dyDescent="0.2">
      <c r="A5" s="143" t="s">
        <v>174</v>
      </c>
      <c r="B5" s="144" t="s">
        <v>178</v>
      </c>
      <c r="C5" s="143" t="s">
        <v>184</v>
      </c>
    </row>
    <row r="6" spans="1:3" x14ac:dyDescent="0.2">
      <c r="A6" s="143" t="s">
        <v>175</v>
      </c>
      <c r="B6" s="144" t="s">
        <v>181</v>
      </c>
      <c r="C6" s="144" t="s">
        <v>185</v>
      </c>
    </row>
    <row r="7" spans="1:3" x14ac:dyDescent="0.2">
      <c r="B7" s="143" t="s">
        <v>183</v>
      </c>
    </row>
    <row r="8" spans="1:3" x14ac:dyDescent="0.2">
      <c r="A8" s="144" t="s">
        <v>180</v>
      </c>
      <c r="B8" s="143" t="s">
        <v>190</v>
      </c>
    </row>
    <row r="9" spans="1:3" x14ac:dyDescent="0.2">
      <c r="B9" s="143" t="s">
        <v>187</v>
      </c>
      <c r="C9" s="143" t="s">
        <v>186</v>
      </c>
    </row>
    <row r="10" spans="1:3" x14ac:dyDescent="0.2">
      <c r="A10" s="393" t="s">
        <v>242</v>
      </c>
      <c r="B10" s="143" t="s">
        <v>188</v>
      </c>
    </row>
    <row r="11" spans="1:3" x14ac:dyDescent="0.2">
      <c r="A11" s="394"/>
      <c r="C11" s="143" t="s">
        <v>189</v>
      </c>
    </row>
    <row r="12" spans="1:3" x14ac:dyDescent="0.2">
      <c r="A12" s="394"/>
      <c r="C12" s="143" t="s">
        <v>22</v>
      </c>
    </row>
    <row r="13" spans="1:3" x14ac:dyDescent="0.2">
      <c r="B13" s="143" t="s">
        <v>215</v>
      </c>
    </row>
    <row r="14" spans="1:3" x14ac:dyDescent="0.2">
      <c r="B14" s="143" t="s">
        <v>228</v>
      </c>
    </row>
    <row r="15" spans="1:3" x14ac:dyDescent="0.2">
      <c r="C15" s="143" t="s">
        <v>254</v>
      </c>
    </row>
    <row r="16" spans="1:3" x14ac:dyDescent="0.2">
      <c r="B16" s="143" t="s">
        <v>263</v>
      </c>
    </row>
  </sheetData>
  <sheetProtection password="C774" sheet="1" objects="1" scenarios="1"/>
  <mergeCells count="2">
    <mergeCell ref="A3:C3"/>
    <mergeCell ref="A10:A12"/>
  </mergeCells>
  <phoneticPr fontId="43" type="noConversion"/>
  <hyperlinks>
    <hyperlink ref="B5" location="ANOVA!A1" display="ANOVA"/>
    <hyperlink ref="A5" location="'Standard Deviation'!A1" display="Normal Distribution &amp; 'Standard Deviation"/>
    <hyperlink ref="A6" location="'Skewed Distribution '!A1" display="Skewed Distribution"/>
    <hyperlink ref="A8" location="'Epidemic curve'!A1" display="Epidemic curve"/>
    <hyperlink ref="B6" location="'Chi Squared Test'!A1" display="'Chi Squared Test'!A1"/>
    <hyperlink ref="B7" location="'CI - One Group'!A1" display="Confidence Interval for a Proportion"/>
    <hyperlink ref="C5" location="'Case-Control'!A1" display="Case-Control"/>
    <hyperlink ref="C6" location="'Cohort Studies'!A1" display="'Cohort Studies'!A1"/>
    <hyperlink ref="C9" location="Screening!A1" display="Screening Test Performance - Sensitivity/Specificity "/>
    <hyperlink ref="B9" location="'T-test (Unpaired)'!A1" display="T-test (Unpaired)"/>
    <hyperlink ref="B10" location="'T-test (Paired)'!A1" display="T-test (Paired)"/>
    <hyperlink ref="C11" location="'Sample Size'!A1" display="Sample Size Calculations"/>
    <hyperlink ref="B8" location="'Correlation &amp; Linear Regression'!A1" display="Correlation &amp; Linear Regression"/>
    <hyperlink ref="C12" location="'Survival Curve'!A1" display="Survival Curves"/>
    <hyperlink ref="B13" location="'Direct Standardization'!A1" tooltip="Age-Adjusted Rates" display="Standardized Rates (Proportions) - Direct Standardization"/>
    <hyperlink ref="B14" location="'Standardized Incidence Ratio'!A1" display="Standardized Incidence Ratio"/>
    <hyperlink ref="A10:A12" location="'Descriptive Data'!A1" display="Descriptive Statistics (mean, median,mode, 95% confidence interval for a mean, standard deviation, standard error, range"/>
    <hyperlink ref="C15" location="'Random # Generator'!A1" display="Random Assignment to Groups"/>
    <hyperlink ref="B16" r:id="rId1"/>
  </hyperlinks>
  <pageMargins left="0.75" right="0.75" top="1" bottom="1" header="0.5" footer="0.5"/>
  <pageSetup orientation="portrait" verticalDpi="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workbookViewId="0">
      <selection activeCell="I23" sqref="I23"/>
    </sheetView>
  </sheetViews>
  <sheetFormatPr defaultColWidth="8.7109375" defaultRowHeight="12.75" x14ac:dyDescent="0.2"/>
  <cols>
    <col min="2" max="2" width="18.42578125" customWidth="1"/>
    <col min="10" max="10" width="28.42578125" customWidth="1"/>
    <col min="11" max="11" width="7.42578125" customWidth="1"/>
    <col min="12" max="12" width="10.42578125" customWidth="1"/>
  </cols>
  <sheetData>
    <row r="1" spans="1:12" ht="36.75" customHeight="1" x14ac:dyDescent="0.2">
      <c r="J1" s="207" t="s">
        <v>245</v>
      </c>
      <c r="L1" s="143" t="s">
        <v>179</v>
      </c>
    </row>
    <row r="2" spans="1:12" ht="21.75" customHeight="1" x14ac:dyDescent="0.2">
      <c r="A2" s="55" t="s">
        <v>92</v>
      </c>
      <c r="B2" s="56"/>
      <c r="C2" s="56"/>
      <c r="D2" s="56"/>
      <c r="E2" s="56"/>
      <c r="F2" s="56"/>
      <c r="G2" s="56"/>
      <c r="H2" s="56"/>
      <c r="I2" s="56"/>
      <c r="J2" s="56"/>
      <c r="K2" s="473" t="s">
        <v>93</v>
      </c>
      <c r="L2" s="473"/>
    </row>
    <row r="3" spans="1:12" x14ac:dyDescent="0.2">
      <c r="A3" s="40" t="s">
        <v>58</v>
      </c>
      <c r="B3" s="40"/>
      <c r="K3" s="57" t="s">
        <v>58</v>
      </c>
      <c r="L3" s="40"/>
    </row>
    <row r="4" spans="1:12" x14ac:dyDescent="0.2">
      <c r="A4" s="53">
        <v>22</v>
      </c>
      <c r="B4" s="52"/>
      <c r="C4" s="51"/>
      <c r="D4" s="51"/>
      <c r="E4" s="51"/>
      <c r="F4" s="51"/>
      <c r="G4" s="51"/>
      <c r="H4" s="51"/>
      <c r="I4" s="51"/>
      <c r="J4" s="474" t="e">
        <f>STDEV(A4:I4)</f>
        <v>#DIV/0!</v>
      </c>
      <c r="K4" s="53">
        <v>23</v>
      </c>
    </row>
    <row r="5" spans="1:12" x14ac:dyDescent="0.2">
      <c r="A5" s="53">
        <v>23</v>
      </c>
      <c r="B5" s="51"/>
      <c r="C5" s="51"/>
      <c r="D5" s="51"/>
      <c r="E5" s="51"/>
      <c r="F5" s="51"/>
      <c r="G5" s="51"/>
      <c r="H5" s="51"/>
      <c r="I5" s="51"/>
      <c r="J5" s="475"/>
      <c r="K5" s="53">
        <v>24</v>
      </c>
      <c r="L5" s="40"/>
    </row>
    <row r="6" spans="1:12" x14ac:dyDescent="0.2">
      <c r="A6" s="53">
        <v>23</v>
      </c>
      <c r="B6" s="51"/>
      <c r="C6" s="51"/>
      <c r="D6" s="51"/>
      <c r="E6" s="51"/>
      <c r="F6" s="51"/>
      <c r="G6" s="51"/>
      <c r="H6" s="51"/>
      <c r="I6" s="51"/>
      <c r="J6" s="475"/>
      <c r="K6" s="53">
        <v>24</v>
      </c>
      <c r="L6" s="40"/>
    </row>
    <row r="7" spans="1:12" x14ac:dyDescent="0.2">
      <c r="A7" s="53">
        <v>23</v>
      </c>
      <c r="B7" s="51"/>
      <c r="C7" s="51"/>
      <c r="D7" s="51"/>
      <c r="E7" s="51"/>
      <c r="F7" s="51"/>
      <c r="G7" s="51"/>
      <c r="H7" s="51"/>
      <c r="I7" s="51"/>
      <c r="J7" s="475"/>
      <c r="K7" s="53">
        <v>25</v>
      </c>
      <c r="L7" s="40"/>
    </row>
    <row r="8" spans="1:12" x14ac:dyDescent="0.2">
      <c r="A8" s="53">
        <v>24</v>
      </c>
      <c r="B8" s="51"/>
      <c r="C8" s="51"/>
      <c r="D8" s="51"/>
      <c r="E8" s="51"/>
      <c r="F8" s="51"/>
      <c r="G8" s="51"/>
      <c r="H8" s="51"/>
      <c r="I8" s="51"/>
      <c r="J8" s="475"/>
      <c r="K8" s="53">
        <v>25</v>
      </c>
      <c r="L8" s="40"/>
    </row>
    <row r="9" spans="1:12" x14ac:dyDescent="0.2">
      <c r="A9" s="53">
        <v>24</v>
      </c>
      <c r="B9" s="51"/>
      <c r="C9" s="51"/>
      <c r="D9" s="51"/>
      <c r="E9" s="51"/>
      <c r="F9" s="51"/>
      <c r="G9" s="51"/>
      <c r="H9" s="51"/>
      <c r="I9" s="51"/>
      <c r="J9" s="475"/>
      <c r="K9" s="53">
        <v>25</v>
      </c>
      <c r="L9" s="40"/>
    </row>
    <row r="10" spans="1:12" x14ac:dyDescent="0.2">
      <c r="A10" s="53">
        <v>25</v>
      </c>
      <c r="B10" s="51"/>
      <c r="C10" s="51"/>
      <c r="D10" s="51"/>
      <c r="E10" s="51"/>
      <c r="F10" s="51"/>
      <c r="G10" s="51"/>
      <c r="H10" s="51"/>
      <c r="I10" s="51"/>
      <c r="J10" s="475"/>
      <c r="K10" s="53">
        <v>25</v>
      </c>
      <c r="L10" s="40"/>
    </row>
    <row r="11" spans="1:12" x14ac:dyDescent="0.2">
      <c r="A11" s="53">
        <v>25</v>
      </c>
      <c r="B11" s="51"/>
      <c r="C11" s="51"/>
      <c r="D11" s="51"/>
      <c r="E11" s="51"/>
      <c r="F11" s="51"/>
      <c r="G11" s="51"/>
      <c r="H11" s="51"/>
      <c r="I11" s="51"/>
      <c r="J11" s="475"/>
      <c r="K11" s="53">
        <v>25</v>
      </c>
      <c r="L11" s="40"/>
    </row>
    <row r="12" spans="1:12" x14ac:dyDescent="0.2">
      <c r="A12" s="53">
        <v>25</v>
      </c>
      <c r="B12" s="51"/>
      <c r="C12" s="51"/>
      <c r="D12" s="51"/>
      <c r="E12" s="51"/>
      <c r="F12" s="51"/>
      <c r="G12" s="51"/>
      <c r="H12" s="51"/>
      <c r="I12" s="51"/>
      <c r="J12" s="475"/>
      <c r="K12" s="53">
        <v>26</v>
      </c>
      <c r="L12" s="40"/>
    </row>
    <row r="13" spans="1:12" x14ac:dyDescent="0.2">
      <c r="A13" s="53">
        <v>25</v>
      </c>
      <c r="B13" s="51"/>
      <c r="C13" s="51"/>
      <c r="D13" s="51"/>
      <c r="E13" s="51"/>
      <c r="F13" s="51"/>
      <c r="G13" s="51"/>
      <c r="H13" s="51"/>
      <c r="I13" s="51"/>
      <c r="J13" s="475"/>
      <c r="K13" s="53">
        <v>26</v>
      </c>
      <c r="L13" s="40"/>
    </row>
    <row r="14" spans="1:12" x14ac:dyDescent="0.2">
      <c r="A14" s="53">
        <v>25</v>
      </c>
      <c r="B14" s="51"/>
      <c r="C14" s="51"/>
      <c r="D14" s="51"/>
      <c r="E14" s="51"/>
      <c r="F14" s="51"/>
      <c r="G14" s="51"/>
      <c r="H14" s="51"/>
      <c r="I14" s="51"/>
      <c r="J14" s="475"/>
      <c r="K14" s="53">
        <v>26</v>
      </c>
    </row>
    <row r="15" spans="1:12" x14ac:dyDescent="0.2">
      <c r="A15" s="53">
        <v>26</v>
      </c>
      <c r="B15" s="51"/>
      <c r="C15" s="51"/>
      <c r="D15" s="51"/>
      <c r="E15" s="51"/>
      <c r="F15" s="51"/>
      <c r="G15" s="51"/>
      <c r="H15" s="51"/>
      <c r="I15" s="51"/>
      <c r="J15" s="475"/>
      <c r="K15" s="53">
        <v>26</v>
      </c>
      <c r="L15" s="40"/>
    </row>
    <row r="16" spans="1:12" x14ac:dyDescent="0.2">
      <c r="A16" s="53">
        <v>26</v>
      </c>
      <c r="B16" s="51"/>
      <c r="C16" s="51"/>
      <c r="D16" s="51"/>
      <c r="E16" s="51"/>
      <c r="F16" s="51"/>
      <c r="G16" s="51"/>
      <c r="H16" s="51"/>
      <c r="I16" s="51"/>
      <c r="J16" s="475"/>
      <c r="K16" s="53">
        <v>26</v>
      </c>
      <c r="L16" s="40"/>
    </row>
    <row r="17" spans="1:15" x14ac:dyDescent="0.2">
      <c r="A17" s="53">
        <v>26</v>
      </c>
      <c r="B17" s="51"/>
      <c r="C17" s="51"/>
      <c r="D17" s="51"/>
      <c r="E17" s="51"/>
      <c r="F17" s="51"/>
      <c r="G17" s="51"/>
      <c r="H17" s="51"/>
      <c r="I17" s="51"/>
      <c r="J17" s="475"/>
      <c r="K17" s="53">
        <v>26</v>
      </c>
      <c r="L17" s="40"/>
    </row>
    <row r="18" spans="1:15" x14ac:dyDescent="0.2">
      <c r="A18" s="53">
        <v>26</v>
      </c>
      <c r="B18" s="50" t="s">
        <v>94</v>
      </c>
      <c r="J18" s="475"/>
      <c r="K18" s="53">
        <v>26</v>
      </c>
      <c r="L18" s="40"/>
    </row>
    <row r="19" spans="1:15" x14ac:dyDescent="0.2">
      <c r="A19" s="53">
        <v>26</v>
      </c>
      <c r="J19" s="475"/>
      <c r="K19" s="53">
        <v>27</v>
      </c>
      <c r="N19" s="472" t="s">
        <v>90</v>
      </c>
      <c r="O19" s="472"/>
    </row>
    <row r="20" spans="1:15" x14ac:dyDescent="0.2">
      <c r="A20" s="53">
        <v>26</v>
      </c>
      <c r="D20" s="472" t="s">
        <v>90</v>
      </c>
      <c r="E20" s="472"/>
      <c r="F20" s="448"/>
      <c r="J20" s="475"/>
      <c r="K20" s="53">
        <v>27</v>
      </c>
    </row>
    <row r="21" spans="1:15" x14ac:dyDescent="0.2">
      <c r="A21" s="53">
        <v>26</v>
      </c>
      <c r="D21" t="s">
        <v>58</v>
      </c>
      <c r="E21" t="s">
        <v>91</v>
      </c>
      <c r="J21" s="475"/>
      <c r="K21" s="53">
        <v>27</v>
      </c>
      <c r="N21" t="s">
        <v>58</v>
      </c>
      <c r="O21" t="s">
        <v>91</v>
      </c>
    </row>
    <row r="22" spans="1:15" x14ac:dyDescent="0.2">
      <c r="A22" s="53">
        <v>27</v>
      </c>
      <c r="D22">
        <v>22</v>
      </c>
      <c r="E22">
        <v>1</v>
      </c>
      <c r="J22" s="475"/>
      <c r="K22" s="53">
        <v>27</v>
      </c>
      <c r="N22">
        <v>22</v>
      </c>
      <c r="O22">
        <v>0</v>
      </c>
    </row>
    <row r="23" spans="1:15" x14ac:dyDescent="0.2">
      <c r="A23" s="53">
        <v>27</v>
      </c>
      <c r="D23">
        <v>23</v>
      </c>
      <c r="E23">
        <v>3</v>
      </c>
      <c r="J23" s="475"/>
      <c r="K23" s="53">
        <v>27</v>
      </c>
      <c r="N23">
        <v>23</v>
      </c>
      <c r="O23">
        <v>1</v>
      </c>
    </row>
    <row r="24" spans="1:15" x14ac:dyDescent="0.2">
      <c r="A24" s="53">
        <v>27</v>
      </c>
      <c r="B24" s="40"/>
      <c r="D24">
        <v>24</v>
      </c>
      <c r="E24">
        <v>2</v>
      </c>
      <c r="J24" s="475"/>
      <c r="K24" s="53">
        <v>27</v>
      </c>
      <c r="L24" s="40"/>
      <c r="N24">
        <v>24</v>
      </c>
      <c r="O24">
        <v>2</v>
      </c>
    </row>
    <row r="25" spans="1:15" x14ac:dyDescent="0.2">
      <c r="A25" s="53">
        <v>27</v>
      </c>
      <c r="B25" s="40"/>
      <c r="D25">
        <v>25</v>
      </c>
      <c r="E25">
        <v>5</v>
      </c>
      <c r="J25" s="475"/>
      <c r="K25" s="53">
        <v>27</v>
      </c>
      <c r="L25" s="40"/>
      <c r="N25">
        <v>25</v>
      </c>
      <c r="O25">
        <v>5</v>
      </c>
    </row>
    <row r="26" spans="1:15" x14ac:dyDescent="0.2">
      <c r="A26" s="53">
        <v>27</v>
      </c>
      <c r="D26">
        <v>26</v>
      </c>
      <c r="E26">
        <v>7</v>
      </c>
      <c r="J26" s="475"/>
      <c r="K26" s="53">
        <v>27</v>
      </c>
      <c r="N26">
        <v>26</v>
      </c>
      <c r="O26">
        <v>7</v>
      </c>
    </row>
    <row r="27" spans="1:15" x14ac:dyDescent="0.2">
      <c r="A27" s="53">
        <v>27</v>
      </c>
      <c r="D27">
        <v>27</v>
      </c>
      <c r="E27">
        <v>9</v>
      </c>
      <c r="J27" s="475"/>
      <c r="K27" s="53">
        <v>27</v>
      </c>
      <c r="N27">
        <v>27</v>
      </c>
      <c r="O27">
        <v>14</v>
      </c>
    </row>
    <row r="28" spans="1:15" x14ac:dyDescent="0.2">
      <c r="A28" s="53">
        <v>27</v>
      </c>
      <c r="D28">
        <v>28</v>
      </c>
      <c r="E28">
        <v>6</v>
      </c>
      <c r="J28" s="475"/>
      <c r="K28" s="53">
        <v>27</v>
      </c>
      <c r="N28">
        <v>28</v>
      </c>
      <c r="O28">
        <v>6</v>
      </c>
    </row>
    <row r="29" spans="1:15" x14ac:dyDescent="0.2">
      <c r="A29" s="53">
        <v>27</v>
      </c>
      <c r="D29">
        <v>29</v>
      </c>
      <c r="E29">
        <v>5</v>
      </c>
      <c r="J29" s="475"/>
      <c r="K29" s="53">
        <v>27</v>
      </c>
      <c r="N29">
        <v>29</v>
      </c>
      <c r="O29">
        <v>5</v>
      </c>
    </row>
    <row r="30" spans="1:15" x14ac:dyDescent="0.2">
      <c r="A30" s="53">
        <v>27</v>
      </c>
      <c r="D30">
        <v>30</v>
      </c>
      <c r="E30">
        <v>3</v>
      </c>
      <c r="J30" s="475"/>
      <c r="K30" s="53">
        <v>27</v>
      </c>
      <c r="N30">
        <v>30</v>
      </c>
      <c r="O30">
        <v>3</v>
      </c>
    </row>
    <row r="31" spans="1:15" x14ac:dyDescent="0.2">
      <c r="A31" s="53">
        <v>28</v>
      </c>
      <c r="B31" s="40"/>
      <c r="D31">
        <v>31</v>
      </c>
      <c r="E31">
        <v>1</v>
      </c>
      <c r="J31" s="475"/>
      <c r="K31" s="53">
        <v>27</v>
      </c>
      <c r="L31" s="40"/>
      <c r="N31">
        <v>31</v>
      </c>
      <c r="O31">
        <v>1</v>
      </c>
    </row>
    <row r="32" spans="1:15" x14ac:dyDescent="0.2">
      <c r="A32" s="53">
        <v>28</v>
      </c>
      <c r="B32" s="40"/>
      <c r="D32">
        <v>32</v>
      </c>
      <c r="E32">
        <v>1</v>
      </c>
      <c r="J32" s="475"/>
      <c r="K32" s="53">
        <v>27</v>
      </c>
      <c r="L32" s="40"/>
      <c r="N32">
        <v>32</v>
      </c>
      <c r="O32">
        <v>0</v>
      </c>
    </row>
    <row r="33" spans="1:15" x14ac:dyDescent="0.2">
      <c r="A33" s="53">
        <v>28</v>
      </c>
      <c r="D33">
        <v>33</v>
      </c>
      <c r="E33">
        <v>1</v>
      </c>
      <c r="J33" s="475"/>
      <c r="K33" s="53">
        <v>28</v>
      </c>
      <c r="N33">
        <v>33</v>
      </c>
      <c r="O33">
        <v>0</v>
      </c>
    </row>
    <row r="34" spans="1:15" x14ac:dyDescent="0.2">
      <c r="A34" s="53">
        <v>28</v>
      </c>
      <c r="J34" s="475"/>
      <c r="K34" s="53">
        <v>28</v>
      </c>
    </row>
    <row r="35" spans="1:15" x14ac:dyDescent="0.2">
      <c r="A35" s="53">
        <v>28</v>
      </c>
      <c r="J35" s="475"/>
      <c r="K35" s="53">
        <v>28</v>
      </c>
    </row>
    <row r="36" spans="1:15" x14ac:dyDescent="0.2">
      <c r="A36" s="53">
        <v>28</v>
      </c>
      <c r="J36" s="475"/>
      <c r="K36" s="53">
        <v>28</v>
      </c>
    </row>
    <row r="37" spans="1:15" x14ac:dyDescent="0.2">
      <c r="A37" s="53">
        <v>29</v>
      </c>
      <c r="J37" s="475"/>
      <c r="K37" s="53">
        <v>28</v>
      </c>
    </row>
    <row r="38" spans="1:15" x14ac:dyDescent="0.2">
      <c r="A38" s="53">
        <v>29</v>
      </c>
      <c r="J38" s="475"/>
      <c r="K38" s="53">
        <v>28</v>
      </c>
    </row>
    <row r="39" spans="1:15" x14ac:dyDescent="0.2">
      <c r="A39" s="53">
        <v>29</v>
      </c>
      <c r="J39" s="475"/>
      <c r="K39" s="53">
        <v>29</v>
      </c>
    </row>
    <row r="40" spans="1:15" x14ac:dyDescent="0.2">
      <c r="A40" s="53">
        <v>29</v>
      </c>
      <c r="J40" s="475"/>
      <c r="K40" s="53">
        <v>29</v>
      </c>
    </row>
    <row r="41" spans="1:15" x14ac:dyDescent="0.2">
      <c r="A41" s="53">
        <v>29</v>
      </c>
      <c r="J41" s="475"/>
      <c r="K41" s="53">
        <v>29</v>
      </c>
    </row>
    <row r="42" spans="1:15" x14ac:dyDescent="0.2">
      <c r="A42" s="53">
        <v>30</v>
      </c>
      <c r="B42" s="40"/>
      <c r="J42" s="475"/>
      <c r="K42" s="53">
        <v>29</v>
      </c>
      <c r="L42" s="40"/>
    </row>
    <row r="43" spans="1:15" x14ac:dyDescent="0.2">
      <c r="A43" s="53">
        <v>30</v>
      </c>
      <c r="B43" s="40"/>
      <c r="J43" s="475"/>
      <c r="K43" s="53">
        <v>29</v>
      </c>
      <c r="L43" s="40"/>
    </row>
    <row r="44" spans="1:15" x14ac:dyDescent="0.2">
      <c r="A44" s="53">
        <v>30</v>
      </c>
      <c r="J44" s="475"/>
      <c r="K44" s="53">
        <v>30</v>
      </c>
    </row>
    <row r="45" spans="1:15" x14ac:dyDescent="0.2">
      <c r="A45" s="53">
        <v>31</v>
      </c>
      <c r="B45" s="40"/>
      <c r="J45" s="475"/>
      <c r="K45" s="53">
        <v>30</v>
      </c>
      <c r="L45" s="40"/>
    </row>
    <row r="46" spans="1:15" x14ac:dyDescent="0.2">
      <c r="A46" s="53">
        <v>32</v>
      </c>
      <c r="B46" s="40"/>
      <c r="J46" s="475"/>
      <c r="K46" s="53">
        <v>30</v>
      </c>
      <c r="L46" s="40"/>
    </row>
    <row r="47" spans="1:15" x14ac:dyDescent="0.2">
      <c r="A47" s="53">
        <v>33</v>
      </c>
      <c r="B47" s="40"/>
      <c r="J47" s="475"/>
      <c r="K47" s="53">
        <v>31</v>
      </c>
      <c r="L47" s="40"/>
    </row>
    <row r="48" spans="1:15" x14ac:dyDescent="0.2">
      <c r="A48" s="42">
        <f>AVERAGE(A4:A47)</f>
        <v>27</v>
      </c>
      <c r="B48" s="54" t="s">
        <v>71</v>
      </c>
      <c r="C48" s="43"/>
      <c r="K48" s="42">
        <f>AVERAGE(K4:K47)</f>
        <v>27.045454545454547</v>
      </c>
      <c r="L48" s="54" t="s">
        <v>71</v>
      </c>
      <c r="M48" s="43"/>
    </row>
    <row r="49" spans="1:12" x14ac:dyDescent="0.2">
      <c r="A49" s="42">
        <f>VAR(A4:A47)</f>
        <v>5.7674418604651159</v>
      </c>
      <c r="B49" s="54" t="s">
        <v>64</v>
      </c>
      <c r="K49" s="42">
        <f>VAR(K4:K47)</f>
        <v>3.0211416490486229</v>
      </c>
      <c r="L49" s="54" t="s">
        <v>64</v>
      </c>
    </row>
    <row r="50" spans="1:12" x14ac:dyDescent="0.2">
      <c r="A50" s="42">
        <f>STDEV(A4:A47)</f>
        <v>2.401549887148946</v>
      </c>
      <c r="B50" s="54" t="s">
        <v>89</v>
      </c>
      <c r="K50" s="42">
        <f>STDEV(K4:K47)</f>
        <v>1.7381431612639457</v>
      </c>
      <c r="L50" s="54" t="s">
        <v>89</v>
      </c>
    </row>
    <row r="51" spans="1:12" x14ac:dyDescent="0.2">
      <c r="A51" s="42"/>
      <c r="B51" s="54"/>
      <c r="K51" s="42"/>
      <c r="L51" s="54"/>
    </row>
  </sheetData>
  <sheetProtection password="C774" sheet="1" objects="1" scenarios="1"/>
  <mergeCells count="4">
    <mergeCell ref="N19:O19"/>
    <mergeCell ref="K2:L2"/>
    <mergeCell ref="D20:F20"/>
    <mergeCell ref="J4:J47"/>
  </mergeCells>
  <phoneticPr fontId="0" type="noConversion"/>
  <hyperlinks>
    <hyperlink ref="L1" location="'Main Menu'!A1" display="Main Menu"/>
  </hyperlinks>
  <pageMargins left="0.75" right="0.75" top="1" bottom="1" header="0.5" footer="0.5"/>
  <pageSetup orientation="portrait" horizontalDpi="300" verticalDpi="300"/>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workbookViewId="0">
      <selection activeCell="C15" sqref="C15"/>
    </sheetView>
  </sheetViews>
  <sheetFormatPr defaultColWidth="8.7109375" defaultRowHeight="12.75" x14ac:dyDescent="0.2"/>
  <cols>
    <col min="2" max="2" width="7.7109375" customWidth="1"/>
    <col min="3" max="3" width="13.7109375" customWidth="1"/>
    <col min="4" max="4" width="11" customWidth="1"/>
    <col min="5" max="5" width="10" customWidth="1"/>
    <col min="6" max="6" width="11.42578125" customWidth="1"/>
    <col min="7" max="7" width="10.42578125" customWidth="1"/>
    <col min="10" max="11" width="10.42578125" bestFit="1" customWidth="1"/>
    <col min="12" max="12" width="7.28515625" customWidth="1"/>
    <col min="13" max="13" width="11.28515625" customWidth="1"/>
  </cols>
  <sheetData>
    <row r="1" spans="1:13" ht="29.25" customHeight="1" x14ac:dyDescent="0.25">
      <c r="A1" s="476" t="s">
        <v>210</v>
      </c>
      <c r="B1" s="477"/>
      <c r="C1" s="477"/>
      <c r="D1" s="477"/>
      <c r="E1" s="477"/>
      <c r="F1" s="477"/>
      <c r="G1" s="477"/>
      <c r="H1" s="478"/>
      <c r="I1" s="478"/>
      <c r="J1" s="478"/>
      <c r="K1" s="479"/>
      <c r="M1" s="146" t="s">
        <v>179</v>
      </c>
    </row>
    <row r="2" spans="1:13" ht="29.25" customHeight="1" x14ac:dyDescent="0.2">
      <c r="A2" s="480" t="s">
        <v>209</v>
      </c>
      <c r="B2" s="481"/>
      <c r="C2" s="481"/>
      <c r="D2" s="481"/>
      <c r="E2" s="481"/>
      <c r="F2" s="481"/>
      <c r="G2" s="481"/>
      <c r="H2" s="481"/>
      <c r="I2" s="481"/>
      <c r="J2" s="481"/>
      <c r="K2" s="482"/>
    </row>
    <row r="3" spans="1:13" x14ac:dyDescent="0.2">
      <c r="A3" s="491" t="s">
        <v>216</v>
      </c>
      <c r="B3" s="492"/>
      <c r="C3" s="492"/>
      <c r="D3" s="492"/>
      <c r="E3" s="492"/>
      <c r="F3" s="492"/>
      <c r="G3" s="492"/>
      <c r="H3" s="492"/>
      <c r="I3" s="492"/>
      <c r="J3" s="492"/>
      <c r="K3" s="492"/>
      <c r="L3" s="492"/>
      <c r="M3" s="493"/>
    </row>
    <row r="4" spans="1:13" x14ac:dyDescent="0.2">
      <c r="A4" s="494"/>
      <c r="B4" s="495"/>
      <c r="C4" s="495"/>
      <c r="D4" s="495"/>
      <c r="E4" s="495"/>
      <c r="F4" s="495"/>
      <c r="G4" s="495"/>
      <c r="H4" s="495"/>
      <c r="I4" s="495"/>
      <c r="J4" s="495"/>
      <c r="K4" s="495"/>
      <c r="L4" s="495"/>
      <c r="M4" s="496"/>
    </row>
    <row r="5" spans="1:13" ht="12.75" customHeight="1" x14ac:dyDescent="0.2">
      <c r="C5" s="488" t="s">
        <v>200</v>
      </c>
    </row>
    <row r="6" spans="1:13" ht="12.75" customHeight="1" x14ac:dyDescent="0.2">
      <c r="C6" s="488"/>
      <c r="E6" s="483" t="s">
        <v>197</v>
      </c>
      <c r="F6" s="483" t="s">
        <v>198</v>
      </c>
      <c r="G6" s="483" t="s">
        <v>199</v>
      </c>
      <c r="H6" s="483" t="s">
        <v>193</v>
      </c>
    </row>
    <row r="7" spans="1:13" x14ac:dyDescent="0.2">
      <c r="A7" t="s">
        <v>201</v>
      </c>
      <c r="B7" s="22" t="s">
        <v>192</v>
      </c>
      <c r="C7" s="489"/>
      <c r="E7" s="484"/>
      <c r="F7" s="484"/>
      <c r="G7" s="484"/>
      <c r="H7" s="484"/>
    </row>
    <row r="8" spans="1:13" x14ac:dyDescent="0.2">
      <c r="A8" s="2" t="s">
        <v>203</v>
      </c>
      <c r="B8">
        <v>1</v>
      </c>
      <c r="C8" s="154">
        <v>0.2</v>
      </c>
      <c r="E8" s="151">
        <v>200</v>
      </c>
      <c r="F8" s="151">
        <v>46000</v>
      </c>
      <c r="G8" s="152">
        <f>E8/F8</f>
        <v>4.3478260869565218E-3</v>
      </c>
      <c r="H8" s="152">
        <f>SQRT(G8*(1-G8)/F8)</f>
        <v>3.0676866001407038E-4</v>
      </c>
      <c r="J8" s="153">
        <f>G8*C8</f>
        <v>8.6956521739130438E-4</v>
      </c>
      <c r="K8" s="153">
        <f>(H8*C8)^2</f>
        <v>3.7642804306731333E-9</v>
      </c>
    </row>
    <row r="9" spans="1:13" x14ac:dyDescent="0.2">
      <c r="A9" s="2" t="s">
        <v>204</v>
      </c>
      <c r="B9">
        <v>2</v>
      </c>
      <c r="C9" s="154">
        <v>0.4</v>
      </c>
      <c r="E9" s="150">
        <v>900</v>
      </c>
      <c r="F9" s="150">
        <v>23000</v>
      </c>
      <c r="G9" s="152">
        <f t="shared" ref="G9:G15" si="0">E9/F9</f>
        <v>3.9130434782608699E-2</v>
      </c>
      <c r="H9" s="152">
        <f t="shared" ref="H9:H15" si="1">SQRT(G9*(1-G9)/F9)</f>
        <v>1.2785733193227641E-3</v>
      </c>
      <c r="J9" s="153">
        <f t="shared" ref="J9:J15" si="2">G9*C9</f>
        <v>1.5652173913043479E-2</v>
      </c>
      <c r="K9" s="153">
        <f t="shared" ref="K9:K15" si="3">(H9*C9)^2</f>
        <v>2.6155995726144495E-7</v>
      </c>
    </row>
    <row r="10" spans="1:13" x14ac:dyDescent="0.2">
      <c r="A10" s="2" t="s">
        <v>205</v>
      </c>
      <c r="B10">
        <v>3</v>
      </c>
      <c r="C10" s="154">
        <v>0.4</v>
      </c>
      <c r="E10" s="150">
        <v>2000</v>
      </c>
      <c r="F10" s="150">
        <v>30000</v>
      </c>
      <c r="G10" s="152">
        <f t="shared" si="0"/>
        <v>6.6666666666666666E-2</v>
      </c>
      <c r="H10" s="152">
        <f t="shared" si="1"/>
        <v>1.4401645996461911E-3</v>
      </c>
      <c r="J10" s="153">
        <f t="shared" si="2"/>
        <v>2.6666666666666668E-2</v>
      </c>
      <c r="K10" s="153">
        <f t="shared" si="3"/>
        <v>3.3185185185185181E-7</v>
      </c>
    </row>
    <row r="11" spans="1:13" x14ac:dyDescent="0.2">
      <c r="A11" s="2" t="s">
        <v>206</v>
      </c>
      <c r="B11">
        <v>4</v>
      </c>
      <c r="C11" s="154">
        <v>0</v>
      </c>
      <c r="E11" s="150">
        <v>0</v>
      </c>
      <c r="F11" s="150">
        <v>1</v>
      </c>
      <c r="G11" s="152">
        <f t="shared" si="0"/>
        <v>0</v>
      </c>
      <c r="H11" s="152">
        <f t="shared" si="1"/>
        <v>0</v>
      </c>
      <c r="J11" s="153">
        <f t="shared" si="2"/>
        <v>0</v>
      </c>
      <c r="K11" s="153">
        <f t="shared" si="3"/>
        <v>0</v>
      </c>
    </row>
    <row r="12" spans="1:13" x14ac:dyDescent="0.2">
      <c r="A12" s="2" t="s">
        <v>207</v>
      </c>
      <c r="B12">
        <v>5</v>
      </c>
      <c r="C12" s="154">
        <v>0</v>
      </c>
      <c r="E12" s="150">
        <v>0</v>
      </c>
      <c r="F12" s="150">
        <v>1</v>
      </c>
      <c r="G12" s="152">
        <f t="shared" si="0"/>
        <v>0</v>
      </c>
      <c r="H12" s="152">
        <f t="shared" si="1"/>
        <v>0</v>
      </c>
      <c r="J12" s="153">
        <f t="shared" si="2"/>
        <v>0</v>
      </c>
      <c r="K12" s="153">
        <f t="shared" si="3"/>
        <v>0</v>
      </c>
    </row>
    <row r="13" spans="1:13" x14ac:dyDescent="0.2">
      <c r="B13">
        <v>6</v>
      </c>
      <c r="C13" s="154">
        <v>0</v>
      </c>
      <c r="E13" s="150">
        <v>0</v>
      </c>
      <c r="F13" s="150">
        <v>1</v>
      </c>
      <c r="G13" s="152">
        <f t="shared" si="0"/>
        <v>0</v>
      </c>
      <c r="H13" s="152">
        <f t="shared" si="1"/>
        <v>0</v>
      </c>
      <c r="J13" s="153">
        <f t="shared" si="2"/>
        <v>0</v>
      </c>
      <c r="K13" s="153">
        <f t="shared" si="3"/>
        <v>0</v>
      </c>
    </row>
    <row r="14" spans="1:13" x14ac:dyDescent="0.2">
      <c r="B14">
        <v>7</v>
      </c>
      <c r="C14" s="154">
        <v>0</v>
      </c>
      <c r="E14" s="150">
        <v>0</v>
      </c>
      <c r="F14" s="150">
        <v>1</v>
      </c>
      <c r="G14" s="152">
        <f t="shared" si="0"/>
        <v>0</v>
      </c>
      <c r="H14" s="152">
        <f t="shared" si="1"/>
        <v>0</v>
      </c>
      <c r="J14" s="153">
        <f t="shared" si="2"/>
        <v>0</v>
      </c>
      <c r="K14" s="153">
        <f t="shared" si="3"/>
        <v>0</v>
      </c>
    </row>
    <row r="15" spans="1:13" x14ac:dyDescent="0.2">
      <c r="B15">
        <v>8</v>
      </c>
      <c r="C15" s="154">
        <v>0</v>
      </c>
      <c r="E15" s="150">
        <v>0</v>
      </c>
      <c r="F15" s="150">
        <v>1</v>
      </c>
      <c r="G15" s="152">
        <f t="shared" si="0"/>
        <v>0</v>
      </c>
      <c r="H15" s="152">
        <f t="shared" si="1"/>
        <v>0</v>
      </c>
      <c r="J15" s="153">
        <f t="shared" si="2"/>
        <v>0</v>
      </c>
      <c r="K15" s="153">
        <f t="shared" si="3"/>
        <v>0</v>
      </c>
    </row>
    <row r="16" spans="1:13" x14ac:dyDescent="0.2">
      <c r="B16" t="s">
        <v>202</v>
      </c>
      <c r="C16" s="20">
        <f>SUM(C8:C15)</f>
        <v>1</v>
      </c>
      <c r="E16">
        <f>SUM(E8:E15)</f>
        <v>3100</v>
      </c>
      <c r="F16">
        <f>SUM(F8:F15)</f>
        <v>99005</v>
      </c>
      <c r="J16" s="153">
        <f>SUM(J8:J15)</f>
        <v>4.3188405797101453E-2</v>
      </c>
      <c r="K16" s="153">
        <f>SUM(K8:K15)</f>
        <v>5.9717608954396991E-7</v>
      </c>
    </row>
    <row r="17" spans="1:11" x14ac:dyDescent="0.2">
      <c r="E17" s="485" t="s">
        <v>211</v>
      </c>
      <c r="F17" s="487"/>
      <c r="G17" s="160">
        <f>E16/F16</f>
        <v>3.1311549921721124E-2</v>
      </c>
    </row>
    <row r="18" spans="1:11" ht="12.75" customHeight="1" x14ac:dyDescent="0.2">
      <c r="D18" s="485" t="s">
        <v>194</v>
      </c>
      <c r="E18" s="486"/>
      <c r="F18" s="487"/>
      <c r="G18" s="155">
        <f>J16</f>
        <v>4.3188405797101453E-2</v>
      </c>
      <c r="H18" s="152"/>
    </row>
    <row r="19" spans="1:11" x14ac:dyDescent="0.2">
      <c r="D19" s="485" t="s">
        <v>195</v>
      </c>
      <c r="E19" s="486"/>
      <c r="F19" s="487"/>
      <c r="G19" s="155">
        <f>SQRT(K16)</f>
        <v>7.7277169302709969E-4</v>
      </c>
      <c r="H19" s="152"/>
    </row>
    <row r="20" spans="1:11" x14ac:dyDescent="0.2">
      <c r="D20" s="485" t="s">
        <v>196</v>
      </c>
      <c r="E20" s="486"/>
      <c r="F20" s="487"/>
      <c r="G20" s="155">
        <f>G18-1.96*G19</f>
        <v>4.1673773278768339E-2</v>
      </c>
      <c r="H20" s="155">
        <f>G18+1.96*G19</f>
        <v>4.4703038315434568E-2</v>
      </c>
    </row>
    <row r="21" spans="1:11" x14ac:dyDescent="0.2">
      <c r="D21" s="162"/>
      <c r="E21" s="162"/>
      <c r="F21" s="162"/>
      <c r="G21" s="161"/>
      <c r="H21" s="161"/>
    </row>
    <row r="22" spans="1:11" ht="18" x14ac:dyDescent="0.25">
      <c r="A22" s="159" t="s">
        <v>208</v>
      </c>
    </row>
    <row r="24" spans="1:11" ht="18" x14ac:dyDescent="0.25">
      <c r="A24" s="159"/>
    </row>
    <row r="25" spans="1:11" ht="18" x14ac:dyDescent="0.25">
      <c r="A25" s="159"/>
    </row>
    <row r="26" spans="1:11" ht="18" x14ac:dyDescent="0.25">
      <c r="A26" s="159"/>
    </row>
    <row r="27" spans="1:11" x14ac:dyDescent="0.2">
      <c r="C27" s="490" t="s">
        <v>212</v>
      </c>
      <c r="E27" s="497" t="s">
        <v>213</v>
      </c>
      <c r="F27" s="498"/>
      <c r="G27" s="498"/>
    </row>
    <row r="28" spans="1:11" x14ac:dyDescent="0.2">
      <c r="C28" s="488"/>
      <c r="E28" s="483" t="s">
        <v>197</v>
      </c>
      <c r="F28" s="483" t="s">
        <v>198</v>
      </c>
      <c r="G28" s="483" t="s">
        <v>199</v>
      </c>
      <c r="H28" s="483" t="s">
        <v>193</v>
      </c>
    </row>
    <row r="29" spans="1:11" x14ac:dyDescent="0.2">
      <c r="A29" t="s">
        <v>201</v>
      </c>
      <c r="B29" s="22" t="s">
        <v>192</v>
      </c>
      <c r="C29" s="489"/>
      <c r="E29" s="484"/>
      <c r="F29" s="484"/>
      <c r="G29" s="484"/>
      <c r="H29" s="484"/>
    </row>
    <row r="30" spans="1:11" x14ac:dyDescent="0.2">
      <c r="A30" s="2" t="s">
        <v>203</v>
      </c>
      <c r="B30">
        <v>1</v>
      </c>
      <c r="C30" s="156">
        <v>7.0000000000000007E-2</v>
      </c>
      <c r="E30" s="157">
        <v>2414</v>
      </c>
      <c r="F30" s="157">
        <v>850000</v>
      </c>
      <c r="G30" s="152">
        <f>E30/F30</f>
        <v>2.8400000000000001E-3</v>
      </c>
      <c r="H30" s="152">
        <f>SQRT(G30*(1-G30)/F30)</f>
        <v>5.7720772079137721E-5</v>
      </c>
      <c r="J30" s="153">
        <f>G30*C30</f>
        <v>1.9880000000000003E-4</v>
      </c>
      <c r="K30" s="153">
        <f>(H30*C30)^2</f>
        <v>1.6325268894117653E-11</v>
      </c>
    </row>
    <row r="31" spans="1:11" x14ac:dyDescent="0.2">
      <c r="A31" s="2" t="s">
        <v>204</v>
      </c>
      <c r="B31">
        <v>2</v>
      </c>
      <c r="C31" s="156">
        <v>0.22</v>
      </c>
      <c r="E31" s="158">
        <v>1300</v>
      </c>
      <c r="F31" s="158">
        <v>2280000</v>
      </c>
      <c r="G31" s="152">
        <f t="shared" ref="G31:G37" si="4">E31/F31</f>
        <v>5.7017543859649118E-4</v>
      </c>
      <c r="H31" s="152">
        <f t="shared" ref="H31:H37" si="5">SQRT(G31*(1-G31)/F31)</f>
        <v>1.5809312414524844E-5</v>
      </c>
      <c r="J31" s="153">
        <f t="shared" ref="J31:J37" si="6">G31*C31</f>
        <v>1.2543859649122806E-4</v>
      </c>
      <c r="K31" s="153">
        <f t="shared" ref="K31:K37" si="7">(H31*C31)^2</f>
        <v>1.2096822976570387E-11</v>
      </c>
    </row>
    <row r="32" spans="1:11" x14ac:dyDescent="0.2">
      <c r="A32" s="2" t="s">
        <v>205</v>
      </c>
      <c r="B32">
        <v>3</v>
      </c>
      <c r="C32" s="156">
        <v>0.4</v>
      </c>
      <c r="E32" s="158">
        <v>8732</v>
      </c>
      <c r="F32" s="158">
        <v>4410000</v>
      </c>
      <c r="G32" s="152">
        <f t="shared" si="4"/>
        <v>1.980045351473923E-3</v>
      </c>
      <c r="H32" s="152">
        <f t="shared" si="5"/>
        <v>2.116839283700097E-5</v>
      </c>
      <c r="J32" s="153">
        <f t="shared" si="6"/>
        <v>7.920181405895693E-4</v>
      </c>
      <c r="K32" s="153">
        <f t="shared" si="7"/>
        <v>7.169613684825503E-11</v>
      </c>
    </row>
    <row r="33" spans="1:11" x14ac:dyDescent="0.2">
      <c r="A33" s="2" t="s">
        <v>206</v>
      </c>
      <c r="B33">
        <v>4</v>
      </c>
      <c r="C33" s="156">
        <v>0.19</v>
      </c>
      <c r="E33" s="158">
        <v>21190</v>
      </c>
      <c r="F33" s="158">
        <v>2600000</v>
      </c>
      <c r="G33" s="152">
        <f t="shared" si="4"/>
        <v>8.1499999999999993E-3</v>
      </c>
      <c r="H33" s="152">
        <f t="shared" si="5"/>
        <v>5.5759019622216896E-5</v>
      </c>
      <c r="J33" s="153">
        <f t="shared" si="6"/>
        <v>1.5485E-3</v>
      </c>
      <c r="K33" s="153">
        <f t="shared" si="7"/>
        <v>1.1223736451923078E-10</v>
      </c>
    </row>
    <row r="34" spans="1:11" x14ac:dyDescent="0.2">
      <c r="A34" s="2" t="s">
        <v>207</v>
      </c>
      <c r="B34">
        <v>5</v>
      </c>
      <c r="C34" s="156">
        <v>0.12</v>
      </c>
      <c r="E34" s="158">
        <v>97350</v>
      </c>
      <c r="F34" s="158">
        <v>2200000</v>
      </c>
      <c r="G34" s="152">
        <f t="shared" si="4"/>
        <v>4.4249999999999998E-2</v>
      </c>
      <c r="H34" s="152">
        <f t="shared" si="5"/>
        <v>1.3864922630345058E-4</v>
      </c>
      <c r="J34" s="153">
        <f t="shared" si="6"/>
        <v>5.3099999999999996E-3</v>
      </c>
      <c r="K34" s="153">
        <f t="shared" si="7"/>
        <v>2.7681995454545442E-10</v>
      </c>
    </row>
    <row r="35" spans="1:11" x14ac:dyDescent="0.2">
      <c r="B35">
        <v>6</v>
      </c>
      <c r="C35" s="156">
        <v>0</v>
      </c>
      <c r="E35" s="158">
        <v>0</v>
      </c>
      <c r="F35" s="158">
        <v>1</v>
      </c>
      <c r="G35" s="152">
        <f t="shared" si="4"/>
        <v>0</v>
      </c>
      <c r="H35" s="152">
        <f t="shared" si="5"/>
        <v>0</v>
      </c>
      <c r="J35" s="153">
        <f t="shared" si="6"/>
        <v>0</v>
      </c>
      <c r="K35" s="153">
        <f t="shared" si="7"/>
        <v>0</v>
      </c>
    </row>
    <row r="36" spans="1:11" x14ac:dyDescent="0.2">
      <c r="B36">
        <v>7</v>
      </c>
      <c r="C36" s="156">
        <v>0</v>
      </c>
      <c r="E36" s="158">
        <v>0</v>
      </c>
      <c r="F36" s="158">
        <v>1</v>
      </c>
      <c r="G36" s="152">
        <f t="shared" si="4"/>
        <v>0</v>
      </c>
      <c r="H36" s="152">
        <f t="shared" si="5"/>
        <v>0</v>
      </c>
      <c r="J36" s="153">
        <f t="shared" si="6"/>
        <v>0</v>
      </c>
      <c r="K36" s="153">
        <f t="shared" si="7"/>
        <v>0</v>
      </c>
    </row>
    <row r="37" spans="1:11" x14ac:dyDescent="0.2">
      <c r="B37">
        <v>8</v>
      </c>
      <c r="C37" s="156">
        <v>0</v>
      </c>
      <c r="E37" s="158">
        <v>0</v>
      </c>
      <c r="F37" s="158">
        <v>1</v>
      </c>
      <c r="G37" s="152">
        <f t="shared" si="4"/>
        <v>0</v>
      </c>
      <c r="H37" s="152">
        <f t="shared" si="5"/>
        <v>0</v>
      </c>
      <c r="J37" s="153">
        <f t="shared" si="6"/>
        <v>0</v>
      </c>
      <c r="K37" s="153">
        <f t="shared" si="7"/>
        <v>0</v>
      </c>
    </row>
    <row r="38" spans="1:11" x14ac:dyDescent="0.2">
      <c r="B38" t="s">
        <v>202</v>
      </c>
      <c r="C38" s="20">
        <f>SUM(C30:C37)</f>
        <v>1</v>
      </c>
      <c r="E38">
        <f>SUM(E30:E37)</f>
        <v>130986</v>
      </c>
      <c r="F38">
        <f>SUM(F30:F37)</f>
        <v>12340003</v>
      </c>
      <c r="J38" s="153">
        <f>SUM(J30:J37)</f>
        <v>7.974756737080797E-3</v>
      </c>
      <c r="K38" s="153">
        <f>SUM(K30:K37)</f>
        <v>4.8917554778362827E-10</v>
      </c>
    </row>
    <row r="39" spans="1:11" x14ac:dyDescent="0.2">
      <c r="E39" s="485" t="s">
        <v>211</v>
      </c>
      <c r="F39" s="487"/>
      <c r="G39" s="160">
        <f>E38/F38</f>
        <v>1.0614746203870453E-2</v>
      </c>
    </row>
    <row r="40" spans="1:11" x14ac:dyDescent="0.2">
      <c r="D40" s="485" t="s">
        <v>194</v>
      </c>
      <c r="E40" s="486"/>
      <c r="F40" s="487"/>
      <c r="G40" s="155">
        <f>J38</f>
        <v>7.974756737080797E-3</v>
      </c>
      <c r="H40" s="152"/>
    </row>
    <row r="41" spans="1:11" x14ac:dyDescent="0.2">
      <c r="D41" s="485" t="s">
        <v>195</v>
      </c>
      <c r="E41" s="486"/>
      <c r="F41" s="487"/>
      <c r="G41" s="155">
        <f>SQRT(K38)</f>
        <v>2.2117313303917097E-5</v>
      </c>
      <c r="H41" s="152"/>
    </row>
    <row r="42" spans="1:11" x14ac:dyDescent="0.2">
      <c r="D42" s="485" t="s">
        <v>196</v>
      </c>
      <c r="E42" s="486"/>
      <c r="F42" s="487"/>
      <c r="G42" s="155">
        <f>G40-1.96*G41</f>
        <v>7.9314068030051192E-3</v>
      </c>
      <c r="H42" s="155">
        <f>G40+1.96*G41</f>
        <v>8.0181066711564747E-3</v>
      </c>
    </row>
    <row r="44" spans="1:11" x14ac:dyDescent="0.2">
      <c r="C44" s="490" t="s">
        <v>212</v>
      </c>
      <c r="E44" s="497" t="s">
        <v>214</v>
      </c>
      <c r="F44" s="498"/>
      <c r="G44" s="498"/>
    </row>
    <row r="45" spans="1:11" x14ac:dyDescent="0.2">
      <c r="C45" s="488"/>
      <c r="E45" s="483" t="s">
        <v>197</v>
      </c>
      <c r="F45" s="483" t="s">
        <v>198</v>
      </c>
      <c r="G45" s="483" t="s">
        <v>199</v>
      </c>
      <c r="H45" s="483" t="s">
        <v>193</v>
      </c>
    </row>
    <row r="46" spans="1:11" x14ac:dyDescent="0.2">
      <c r="B46" s="22" t="s">
        <v>192</v>
      </c>
      <c r="C46" s="489"/>
      <c r="E46" s="484"/>
      <c r="F46" s="484"/>
      <c r="G46" s="484"/>
      <c r="H46" s="484"/>
    </row>
    <row r="47" spans="1:11" x14ac:dyDescent="0.2">
      <c r="B47">
        <v>1</v>
      </c>
      <c r="C47" s="156">
        <v>7.0000000000000007E-2</v>
      </c>
      <c r="E47" s="157">
        <v>164</v>
      </c>
      <c r="F47" s="157">
        <v>60000</v>
      </c>
      <c r="G47" s="152">
        <f>E47/F47</f>
        <v>2.7333333333333333E-3</v>
      </c>
      <c r="H47" s="152">
        <f>SQRT(G47*(1-G47)/F47)</f>
        <v>2.131455770994018E-4</v>
      </c>
      <c r="J47" s="153">
        <f>G47*C47</f>
        <v>1.9133333333333334E-4</v>
      </c>
      <c r="K47" s="153">
        <f>(H47*C47)^2</f>
        <v>2.2261208148148152E-10</v>
      </c>
    </row>
    <row r="48" spans="1:11" x14ac:dyDescent="0.2">
      <c r="B48">
        <v>2</v>
      </c>
      <c r="C48" s="156">
        <v>0.22</v>
      </c>
      <c r="E48" s="158">
        <v>85</v>
      </c>
      <c r="F48" s="158">
        <v>130000</v>
      </c>
      <c r="G48" s="152">
        <f t="shared" ref="G48:G54" si="8">E48/F48</f>
        <v>6.5384615384615383E-4</v>
      </c>
      <c r="H48" s="152">
        <f t="shared" ref="H48:H54" si="9">SQRT(G48*(1-G48)/F48)</f>
        <v>7.0896383712334523E-5</v>
      </c>
      <c r="J48" s="153">
        <f t="shared" ref="J48:J54" si="10">G48*C48</f>
        <v>1.4384615384615385E-4</v>
      </c>
      <c r="K48" s="153">
        <f t="shared" ref="K48:K54" si="11">(H48*C48)^2</f>
        <v>2.4327278561675003E-10</v>
      </c>
    </row>
    <row r="49" spans="2:11" x14ac:dyDescent="0.2">
      <c r="B49">
        <v>3</v>
      </c>
      <c r="C49" s="156">
        <v>0.4</v>
      </c>
      <c r="E49" s="158">
        <v>450</v>
      </c>
      <c r="F49" s="158">
        <v>240000</v>
      </c>
      <c r="G49" s="152">
        <f t="shared" si="8"/>
        <v>1.8749999999999999E-3</v>
      </c>
      <c r="H49" s="152">
        <f t="shared" si="9"/>
        <v>8.8305444693404945E-5</v>
      </c>
      <c r="J49" s="153">
        <f t="shared" si="10"/>
        <v>7.5000000000000002E-4</v>
      </c>
      <c r="K49" s="153">
        <f t="shared" si="11"/>
        <v>1.2476562500000001E-9</v>
      </c>
    </row>
    <row r="50" spans="2:11" x14ac:dyDescent="0.2">
      <c r="B50">
        <v>4</v>
      </c>
      <c r="C50" s="156">
        <v>0.19</v>
      </c>
      <c r="E50" s="158">
        <v>503</v>
      </c>
      <c r="F50" s="158">
        <v>80000</v>
      </c>
      <c r="G50" s="152">
        <f t="shared" si="8"/>
        <v>6.2874999999999997E-3</v>
      </c>
      <c r="H50" s="152">
        <f t="shared" si="9"/>
        <v>2.7946304191587656E-4</v>
      </c>
      <c r="J50" s="153">
        <f t="shared" si="10"/>
        <v>1.1946249999999999E-3</v>
      </c>
      <c r="K50" s="153">
        <f t="shared" si="11"/>
        <v>2.8193952638671868E-9</v>
      </c>
    </row>
    <row r="51" spans="2:11" x14ac:dyDescent="0.2">
      <c r="B51">
        <v>5</v>
      </c>
      <c r="C51" s="156">
        <v>0.12</v>
      </c>
      <c r="E51" s="158">
        <v>870</v>
      </c>
      <c r="F51" s="158">
        <v>20000</v>
      </c>
      <c r="G51" s="152">
        <f t="shared" si="8"/>
        <v>4.3499999999999997E-2</v>
      </c>
      <c r="H51" s="152">
        <f t="shared" si="9"/>
        <v>1.4423548453830631E-3</v>
      </c>
      <c r="J51" s="153">
        <f t="shared" si="10"/>
        <v>5.2199999999999998E-3</v>
      </c>
      <c r="K51" s="153">
        <f t="shared" si="11"/>
        <v>2.9957579999999994E-8</v>
      </c>
    </row>
    <row r="52" spans="2:11" x14ac:dyDescent="0.2">
      <c r="B52">
        <v>6</v>
      </c>
      <c r="C52" s="156">
        <v>0</v>
      </c>
      <c r="E52" s="158">
        <v>0</v>
      </c>
      <c r="F52" s="158">
        <v>1</v>
      </c>
      <c r="G52" s="152">
        <f t="shared" si="8"/>
        <v>0</v>
      </c>
      <c r="H52" s="152">
        <f t="shared" si="9"/>
        <v>0</v>
      </c>
      <c r="J52" s="153">
        <f t="shared" si="10"/>
        <v>0</v>
      </c>
      <c r="K52" s="153">
        <f t="shared" si="11"/>
        <v>0</v>
      </c>
    </row>
    <row r="53" spans="2:11" x14ac:dyDescent="0.2">
      <c r="B53">
        <v>7</v>
      </c>
      <c r="C53" s="156">
        <v>0</v>
      </c>
      <c r="E53" s="158">
        <v>0</v>
      </c>
      <c r="F53" s="158">
        <v>1</v>
      </c>
      <c r="G53" s="152">
        <f t="shared" si="8"/>
        <v>0</v>
      </c>
      <c r="H53" s="152">
        <f t="shared" si="9"/>
        <v>0</v>
      </c>
      <c r="J53" s="153">
        <f t="shared" si="10"/>
        <v>0</v>
      </c>
      <c r="K53" s="153">
        <f t="shared" si="11"/>
        <v>0</v>
      </c>
    </row>
    <row r="54" spans="2:11" x14ac:dyDescent="0.2">
      <c r="B54">
        <v>8</v>
      </c>
      <c r="C54" s="156">
        <v>0</v>
      </c>
      <c r="E54" s="158">
        <v>0</v>
      </c>
      <c r="F54" s="158">
        <v>1</v>
      </c>
      <c r="G54" s="152">
        <f t="shared" si="8"/>
        <v>0</v>
      </c>
      <c r="H54" s="152">
        <f t="shared" si="9"/>
        <v>0</v>
      </c>
      <c r="J54" s="153">
        <f t="shared" si="10"/>
        <v>0</v>
      </c>
      <c r="K54" s="153">
        <f t="shared" si="11"/>
        <v>0</v>
      </c>
    </row>
    <row r="55" spans="2:11" x14ac:dyDescent="0.2">
      <c r="B55" t="s">
        <v>202</v>
      </c>
      <c r="C55" s="20">
        <f>SUM(C47:C54)</f>
        <v>1</v>
      </c>
      <c r="E55">
        <f>SUM(E47:E54)</f>
        <v>2072</v>
      </c>
      <c r="F55">
        <f>SUM(F47:F54)</f>
        <v>530003</v>
      </c>
      <c r="J55" s="153">
        <f>SUM(J47:J54)</f>
        <v>7.4998044871794865E-3</v>
      </c>
      <c r="K55" s="153">
        <f>SUM(K47:K54)</f>
        <v>3.4490516380965415E-8</v>
      </c>
    </row>
    <row r="56" spans="2:11" x14ac:dyDescent="0.2">
      <c r="E56" s="485" t="s">
        <v>211</v>
      </c>
      <c r="F56" s="487"/>
      <c r="G56" s="160">
        <f>E55/F55</f>
        <v>3.9094118335179237E-3</v>
      </c>
    </row>
    <row r="57" spans="2:11" x14ac:dyDescent="0.2">
      <c r="D57" s="485" t="s">
        <v>194</v>
      </c>
      <c r="E57" s="486"/>
      <c r="F57" s="487"/>
      <c r="G57" s="155">
        <f>J55</f>
        <v>7.4998044871794865E-3</v>
      </c>
      <c r="H57" s="152"/>
    </row>
    <row r="58" spans="2:11" x14ac:dyDescent="0.2">
      <c r="D58" s="485" t="s">
        <v>195</v>
      </c>
      <c r="E58" s="486"/>
      <c r="F58" s="487"/>
      <c r="G58" s="155">
        <f>SQRT(K55)</f>
        <v>1.8571622541115092E-4</v>
      </c>
      <c r="H58" s="152"/>
    </row>
    <row r="59" spans="2:11" x14ac:dyDescent="0.2">
      <c r="D59" s="485" t="s">
        <v>196</v>
      </c>
      <c r="E59" s="486"/>
      <c r="F59" s="487"/>
      <c r="G59" s="155">
        <f>G57-1.96*G58</f>
        <v>7.1358006853736305E-3</v>
      </c>
      <c r="H59" s="155">
        <f>G57+1.96*G58</f>
        <v>7.8638082889853425E-3</v>
      </c>
    </row>
  </sheetData>
  <sheetProtection password="C774" sheet="1" objects="1" scenarios="1"/>
  <mergeCells count="32">
    <mergeCell ref="D59:F59"/>
    <mergeCell ref="A3:M4"/>
    <mergeCell ref="H45:H46"/>
    <mergeCell ref="E56:F56"/>
    <mergeCell ref="D57:F57"/>
    <mergeCell ref="D58:F58"/>
    <mergeCell ref="E17:F17"/>
    <mergeCell ref="E39:F39"/>
    <mergeCell ref="E27:G27"/>
    <mergeCell ref="C44:C46"/>
    <mergeCell ref="E44:G44"/>
    <mergeCell ref="E45:E46"/>
    <mergeCell ref="F45:F46"/>
    <mergeCell ref="G45:G46"/>
    <mergeCell ref="H28:H29"/>
    <mergeCell ref="D40:F40"/>
    <mergeCell ref="D41:F41"/>
    <mergeCell ref="D42:F42"/>
    <mergeCell ref="C27:C29"/>
    <mergeCell ref="E28:E29"/>
    <mergeCell ref="F28:F29"/>
    <mergeCell ref="G28:G29"/>
    <mergeCell ref="D18:F18"/>
    <mergeCell ref="D19:F19"/>
    <mergeCell ref="D20:F20"/>
    <mergeCell ref="C5:C7"/>
    <mergeCell ref="A1:K1"/>
    <mergeCell ref="A2:K2"/>
    <mergeCell ref="E6:E7"/>
    <mergeCell ref="F6:F7"/>
    <mergeCell ref="G6:G7"/>
    <mergeCell ref="H6:H7"/>
  </mergeCells>
  <phoneticPr fontId="43" type="noConversion"/>
  <hyperlinks>
    <hyperlink ref="M1" location="'Main Menu'!A1" display="Main Menu"/>
  </hyperlinks>
  <pageMargins left="0.75" right="0.75" top="1" bottom="1" header="0.5" footer="0.5"/>
  <pageSetup orientation="portrait" verticalDpi="0"/>
  <headerFooter alignWithMargins="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workbookViewId="0">
      <selection activeCell="F18" sqref="F18"/>
    </sheetView>
  </sheetViews>
  <sheetFormatPr defaultColWidth="8.7109375" defaultRowHeight="12.75" x14ac:dyDescent="0.2"/>
  <cols>
    <col min="2" max="2" width="7.7109375" customWidth="1"/>
    <col min="3" max="3" width="13.7109375" customWidth="1"/>
    <col min="4" max="4" width="12" customWidth="1"/>
    <col min="5" max="5" width="12.7109375" customWidth="1"/>
    <col min="6" max="6" width="11.42578125" customWidth="1"/>
    <col min="7" max="7" width="12.140625" bestFit="1" customWidth="1"/>
    <col min="10" max="10" width="3.140625" customWidth="1"/>
    <col min="11" max="11" width="10.7109375" customWidth="1"/>
    <col min="12" max="12" width="27.42578125" customWidth="1"/>
  </cols>
  <sheetData>
    <row r="1" spans="1:12" ht="29.25" customHeight="1" x14ac:dyDescent="0.25">
      <c r="A1" s="499" t="s">
        <v>217</v>
      </c>
      <c r="B1" s="500"/>
      <c r="C1" s="500"/>
      <c r="D1" s="500"/>
      <c r="E1" s="500"/>
      <c r="F1" s="500"/>
      <c r="G1" s="500"/>
      <c r="H1" s="500"/>
      <c r="I1" s="500"/>
      <c r="J1" s="183"/>
      <c r="K1" s="184" t="s">
        <v>179</v>
      </c>
      <c r="L1" s="180"/>
    </row>
    <row r="2" spans="1:12" x14ac:dyDescent="0.2">
      <c r="A2" s="501" t="s">
        <v>227</v>
      </c>
      <c r="B2" s="502"/>
      <c r="C2" s="502"/>
      <c r="D2" s="502"/>
      <c r="E2" s="502"/>
      <c r="F2" s="502"/>
      <c r="G2" s="502"/>
      <c r="H2" s="502"/>
      <c r="I2" s="502"/>
      <c r="J2" s="182"/>
      <c r="K2" s="182"/>
      <c r="L2" s="182"/>
    </row>
    <row r="3" spans="1:12" ht="18.75" customHeight="1" x14ac:dyDescent="0.2">
      <c r="A3" s="503"/>
      <c r="B3" s="504"/>
      <c r="C3" s="504"/>
      <c r="D3" s="504"/>
      <c r="E3" s="504"/>
      <c r="F3" s="504"/>
      <c r="G3" s="504"/>
      <c r="H3" s="504"/>
      <c r="I3" s="504"/>
      <c r="J3" s="182"/>
      <c r="K3" s="182"/>
      <c r="L3" s="182"/>
    </row>
    <row r="4" spans="1:12" s="164" customFormat="1" ht="17.25" customHeight="1" x14ac:dyDescent="0.2">
      <c r="A4" s="163"/>
      <c r="B4" s="163"/>
      <c r="C4" s="163"/>
      <c r="D4" s="163"/>
      <c r="E4" s="163" t="s">
        <v>226</v>
      </c>
      <c r="F4" s="163"/>
      <c r="G4" s="163"/>
      <c r="H4" s="163"/>
      <c r="I4" s="163"/>
      <c r="J4" s="163"/>
      <c r="K4" s="163"/>
      <c r="L4" s="163"/>
    </row>
    <row r="5" spans="1:12" ht="12.75" customHeight="1" x14ac:dyDescent="0.2">
      <c r="C5" s="490" t="s">
        <v>223</v>
      </c>
      <c r="D5" s="510" t="s">
        <v>222</v>
      </c>
      <c r="E5" s="505" t="s">
        <v>224</v>
      </c>
      <c r="F5" s="505" t="s">
        <v>225</v>
      </c>
      <c r="G5" s="169"/>
    </row>
    <row r="6" spans="1:12" ht="12.75" customHeight="1" x14ac:dyDescent="0.2">
      <c r="C6" s="508"/>
      <c r="D6" s="511"/>
      <c r="E6" s="506"/>
      <c r="F6" s="506"/>
      <c r="G6" s="170"/>
      <c r="H6" s="178"/>
      <c r="I6" s="178"/>
      <c r="J6" s="178"/>
    </row>
    <row r="7" spans="1:12" x14ac:dyDescent="0.2">
      <c r="A7" t="s">
        <v>201</v>
      </c>
      <c r="B7" s="22" t="s">
        <v>192</v>
      </c>
      <c r="C7" s="509"/>
      <c r="D7" s="512"/>
      <c r="E7" s="507"/>
      <c r="F7" s="507"/>
      <c r="G7" s="170"/>
      <c r="H7" s="178"/>
      <c r="I7" s="178"/>
      <c r="J7" s="178"/>
    </row>
    <row r="8" spans="1:12" ht="12.75" customHeight="1" x14ac:dyDescent="0.2">
      <c r="A8" s="44" t="s">
        <v>218</v>
      </c>
      <c r="B8">
        <v>1</v>
      </c>
      <c r="C8" s="344">
        <v>1E-4</v>
      </c>
      <c r="D8" s="345">
        <v>74657</v>
      </c>
      <c r="E8" s="185">
        <f>C8*D8</f>
        <v>7.4657</v>
      </c>
      <c r="F8" s="347">
        <v>11</v>
      </c>
      <c r="G8" s="152"/>
      <c r="H8" s="152"/>
      <c r="I8" s="152"/>
      <c r="J8" s="152"/>
      <c r="L8" s="153"/>
    </row>
    <row r="9" spans="1:12" x14ac:dyDescent="0.2">
      <c r="A9" s="44" t="s">
        <v>205</v>
      </c>
      <c r="B9">
        <v>2</v>
      </c>
      <c r="C9" s="344">
        <v>2.0000000000000001E-4</v>
      </c>
      <c r="D9" s="346">
        <v>134957</v>
      </c>
      <c r="E9" s="185">
        <f t="shared" ref="E9:E15" si="0">C9*D9</f>
        <v>26.991400000000002</v>
      </c>
      <c r="F9" s="347">
        <v>25</v>
      </c>
      <c r="G9" s="152"/>
      <c r="H9" s="152"/>
      <c r="I9" s="152"/>
      <c r="J9" s="152"/>
      <c r="L9" s="153"/>
    </row>
    <row r="10" spans="1:12" ht="12.75" customHeight="1" x14ac:dyDescent="0.2">
      <c r="A10" s="44" t="s">
        <v>206</v>
      </c>
      <c r="B10">
        <v>3</v>
      </c>
      <c r="C10" s="344">
        <v>5.0000000000000001E-4</v>
      </c>
      <c r="D10" s="346">
        <v>54463</v>
      </c>
      <c r="E10" s="185">
        <f t="shared" si="0"/>
        <v>27.2315</v>
      </c>
      <c r="F10" s="347">
        <v>30</v>
      </c>
      <c r="G10" s="152"/>
      <c r="H10" s="152"/>
      <c r="I10" s="152"/>
      <c r="J10" s="152"/>
      <c r="L10" s="153"/>
    </row>
    <row r="11" spans="1:12" x14ac:dyDescent="0.2">
      <c r="A11" s="44" t="s">
        <v>219</v>
      </c>
      <c r="B11">
        <v>4</v>
      </c>
      <c r="C11" s="344">
        <v>1.5E-3</v>
      </c>
      <c r="D11" s="346">
        <v>25136</v>
      </c>
      <c r="E11" s="185">
        <f t="shared" si="0"/>
        <v>37.704000000000001</v>
      </c>
      <c r="F11" s="347">
        <v>40</v>
      </c>
      <c r="G11" s="152"/>
      <c r="H11" s="152"/>
      <c r="I11" s="152"/>
      <c r="J11" s="152"/>
      <c r="L11" s="153"/>
    </row>
    <row r="12" spans="1:12" x14ac:dyDescent="0.2">
      <c r="A12" s="44" t="s">
        <v>220</v>
      </c>
      <c r="B12">
        <v>5</v>
      </c>
      <c r="C12" s="344">
        <v>1.8E-3</v>
      </c>
      <c r="D12" s="346">
        <v>17012</v>
      </c>
      <c r="E12" s="185">
        <f t="shared" si="0"/>
        <v>30.621600000000001</v>
      </c>
      <c r="F12" s="347">
        <v>30</v>
      </c>
      <c r="G12" s="152"/>
      <c r="H12" s="152"/>
      <c r="I12" s="152"/>
      <c r="J12" s="152"/>
      <c r="L12" s="153"/>
    </row>
    <row r="13" spans="1:12" x14ac:dyDescent="0.2">
      <c r="A13" s="44" t="s">
        <v>221</v>
      </c>
      <c r="B13">
        <v>6</v>
      </c>
      <c r="C13" s="344">
        <v>1E-3</v>
      </c>
      <c r="D13" s="346">
        <v>6337</v>
      </c>
      <c r="E13" s="185">
        <f t="shared" si="0"/>
        <v>6.3369999999999997</v>
      </c>
      <c r="F13" s="347">
        <v>8</v>
      </c>
      <c r="G13" s="152"/>
      <c r="H13" s="152"/>
      <c r="I13" s="152"/>
      <c r="J13" s="152"/>
    </row>
    <row r="14" spans="1:12" x14ac:dyDescent="0.2">
      <c r="B14">
        <v>7</v>
      </c>
      <c r="C14" s="344">
        <v>0</v>
      </c>
      <c r="D14" s="346">
        <v>0</v>
      </c>
      <c r="E14" s="185">
        <f t="shared" si="0"/>
        <v>0</v>
      </c>
      <c r="F14" s="347"/>
      <c r="G14" s="152"/>
      <c r="H14" s="152"/>
      <c r="I14" s="152"/>
      <c r="J14" s="152"/>
    </row>
    <row r="15" spans="1:12" x14ac:dyDescent="0.2">
      <c r="B15">
        <v>8</v>
      </c>
      <c r="C15" s="344">
        <v>0</v>
      </c>
      <c r="D15" s="346">
        <v>0</v>
      </c>
      <c r="E15" s="185">
        <f t="shared" si="0"/>
        <v>0</v>
      </c>
      <c r="F15" s="347"/>
      <c r="G15" s="152"/>
      <c r="H15" s="152"/>
      <c r="I15" s="152"/>
      <c r="J15" s="152"/>
    </row>
    <row r="16" spans="1:12" x14ac:dyDescent="0.2">
      <c r="B16" s="22" t="s">
        <v>202</v>
      </c>
      <c r="C16" s="64"/>
      <c r="D16" s="22">
        <f>SUM(D8:D15)</f>
        <v>312562</v>
      </c>
      <c r="E16" s="363">
        <f>SUM(E8:E15)</f>
        <v>136.35120000000001</v>
      </c>
      <c r="F16" s="363">
        <f>SUM(F8:F15)</f>
        <v>144</v>
      </c>
    </row>
    <row r="17" spans="1:12" ht="12.75" customHeight="1" x14ac:dyDescent="0.2">
      <c r="G17" s="179"/>
      <c r="H17" s="179"/>
    </row>
    <row r="18" spans="1:12" ht="30.75" thickBot="1" x14ac:dyDescent="0.3">
      <c r="A18" s="141"/>
      <c r="B18" s="141"/>
      <c r="C18" s="354"/>
      <c r="D18" s="355" t="s">
        <v>408</v>
      </c>
      <c r="E18" s="355" t="s">
        <v>409</v>
      </c>
      <c r="F18" s="356" t="s">
        <v>405</v>
      </c>
      <c r="G18" s="357" t="s">
        <v>406</v>
      </c>
      <c r="H18" s="358" t="s">
        <v>407</v>
      </c>
    </row>
    <row r="19" spans="1:12" ht="12.75" customHeight="1" x14ac:dyDescent="0.2">
      <c r="A19" s="141"/>
      <c r="B19" s="141"/>
      <c r="C19" s="359"/>
      <c r="D19" s="360">
        <f>F16</f>
        <v>144</v>
      </c>
      <c r="E19" s="361">
        <f>E16</f>
        <v>136.35120000000001</v>
      </c>
      <c r="F19" s="362">
        <f>(D19/E19)*100</f>
        <v>105.60963159840178</v>
      </c>
      <c r="G19" s="362">
        <f>F19*((1-(1/(9*D19))-(1.96/(3*SQRT(D19))))^3)</f>
        <v>89.063764788357858</v>
      </c>
      <c r="H19" s="362">
        <f>F19*((D19+1)/D19)*((1-(1/(9*(D19+1)))+(1.96/(3*SQRT(D19+1))))^3)</f>
        <v>124.33700727119553</v>
      </c>
    </row>
    <row r="20" spans="1:12" x14ac:dyDescent="0.2">
      <c r="A20" s="141"/>
      <c r="B20" s="141"/>
      <c r="C20" s="171"/>
      <c r="D20" s="172"/>
      <c r="E20" s="172"/>
      <c r="F20" s="172"/>
      <c r="G20" s="141"/>
      <c r="H20" s="141"/>
    </row>
    <row r="21" spans="1:12" x14ac:dyDescent="0.2">
      <c r="A21" s="141"/>
      <c r="B21" s="141"/>
      <c r="C21" s="171"/>
      <c r="D21" s="172"/>
      <c r="E21" s="365" t="s">
        <v>393</v>
      </c>
      <c r="F21" s="328">
        <f>1-_xlfn.POISSON.DIST($F$16-1,$E$16,TRUE)</f>
        <v>0.26725332477690711</v>
      </c>
      <c r="G21" s="172"/>
      <c r="H21" s="172"/>
    </row>
    <row r="22" spans="1:12" s="141" customFormat="1" x14ac:dyDescent="0.2">
      <c r="B22" s="173"/>
      <c r="C22" s="171"/>
      <c r="D22" s="175"/>
      <c r="E22" s="175"/>
      <c r="F22" s="166"/>
      <c r="G22" s="172"/>
      <c r="H22" s="172"/>
    </row>
    <row r="23" spans="1:12" s="141" customFormat="1" x14ac:dyDescent="0.2">
      <c r="C23" s="174"/>
      <c r="D23" s="175"/>
      <c r="E23" s="175"/>
      <c r="F23" s="166"/>
      <c r="G23" s="166"/>
      <c r="H23" s="166"/>
      <c r="I23" s="172"/>
      <c r="J23" s="172"/>
    </row>
    <row r="24" spans="1:12" s="141" customFormat="1" x14ac:dyDescent="0.2">
      <c r="C24" s="174"/>
      <c r="D24" s="175"/>
      <c r="E24" s="175"/>
      <c r="F24" s="166"/>
      <c r="G24" s="166"/>
      <c r="H24" s="166"/>
      <c r="I24" s="172"/>
      <c r="J24" s="172"/>
    </row>
    <row r="25" spans="1:12" s="141" customFormat="1" x14ac:dyDescent="0.2">
      <c r="C25" s="174"/>
      <c r="D25" s="175"/>
      <c r="E25" s="175"/>
      <c r="F25" s="166"/>
      <c r="G25" s="166"/>
      <c r="H25" s="166"/>
      <c r="I25" s="166"/>
      <c r="J25" s="166"/>
    </row>
    <row r="26" spans="1:12" s="141" customFormat="1" x14ac:dyDescent="0.2">
      <c r="C26" s="174"/>
      <c r="D26" s="175"/>
      <c r="E26" s="175"/>
      <c r="F26" s="166"/>
      <c r="G26" s="166"/>
      <c r="H26" s="166"/>
      <c r="I26" s="166"/>
      <c r="J26" s="166"/>
    </row>
    <row r="27" spans="1:12" s="141" customFormat="1" x14ac:dyDescent="0.2">
      <c r="C27" s="174"/>
      <c r="D27" s="175"/>
      <c r="E27" s="175"/>
      <c r="F27" s="166"/>
      <c r="G27" s="166"/>
      <c r="H27" s="166"/>
      <c r="I27" s="166"/>
      <c r="J27" s="166"/>
    </row>
    <row r="28" spans="1:12" s="141" customFormat="1" x14ac:dyDescent="0.2">
      <c r="C28" s="174"/>
      <c r="D28" s="175"/>
      <c r="E28" s="364"/>
      <c r="F28" s="166"/>
      <c r="G28" s="166"/>
      <c r="H28" s="166"/>
      <c r="I28" s="166"/>
      <c r="J28" s="166"/>
    </row>
    <row r="29" spans="1:12" s="141" customFormat="1" x14ac:dyDescent="0.2">
      <c r="C29" s="174"/>
      <c r="D29" s="175"/>
      <c r="E29" s="175"/>
      <c r="F29" s="166"/>
      <c r="G29" s="166"/>
      <c r="H29" s="166"/>
      <c r="I29" s="166"/>
      <c r="J29" s="166"/>
    </row>
    <row r="30" spans="1:12" s="141" customFormat="1" x14ac:dyDescent="0.2">
      <c r="C30" s="174"/>
      <c r="G30" s="166"/>
      <c r="H30" s="166"/>
      <c r="I30" s="166"/>
      <c r="J30" s="166"/>
    </row>
    <row r="31" spans="1:12" s="141" customFormat="1" x14ac:dyDescent="0.2">
      <c r="C31" s="177"/>
      <c r="D31" s="167"/>
      <c r="E31" s="167"/>
      <c r="F31" s="165"/>
      <c r="I31" s="166"/>
      <c r="J31" s="166"/>
    </row>
    <row r="32" spans="1:12" s="141" customFormat="1" ht="12.75" customHeight="1" x14ac:dyDescent="0.2">
      <c r="D32" s="167"/>
      <c r="E32" s="167"/>
      <c r="F32" s="165"/>
      <c r="I32" s="166"/>
      <c r="J32" s="166"/>
      <c r="L32" s="176"/>
    </row>
    <row r="33" spans="1:12" s="141" customFormat="1" x14ac:dyDescent="0.2">
      <c r="D33" s="167"/>
      <c r="E33" s="167"/>
      <c r="F33" s="165"/>
      <c r="G33" s="166"/>
      <c r="H33" s="166"/>
      <c r="L33" s="176"/>
    </row>
    <row r="34" spans="1:12" s="141" customFormat="1" x14ac:dyDescent="0.2">
      <c r="D34" s="167"/>
      <c r="E34" s="167"/>
      <c r="F34" s="165"/>
      <c r="G34" s="166"/>
      <c r="H34" s="166"/>
    </row>
    <row r="35" spans="1:12" s="141" customFormat="1" x14ac:dyDescent="0.2">
      <c r="G35" s="165"/>
      <c r="H35" s="165"/>
      <c r="I35" s="166"/>
      <c r="J35" s="166"/>
    </row>
    <row r="36" spans="1:12" s="141" customFormat="1" x14ac:dyDescent="0.2">
      <c r="I36" s="166"/>
      <c r="J36" s="166"/>
    </row>
    <row r="37" spans="1:12" s="141" customFormat="1" x14ac:dyDescent="0.2">
      <c r="I37" s="165"/>
      <c r="J37" s="165"/>
    </row>
    <row r="38" spans="1:12" s="141" customFormat="1" x14ac:dyDescent="0.2"/>
    <row r="39" spans="1:12" s="141" customFormat="1" x14ac:dyDescent="0.2"/>
    <row r="40" spans="1:12" s="141" customFormat="1" x14ac:dyDescent="0.2">
      <c r="I40" s="172"/>
      <c r="J40" s="172"/>
    </row>
    <row r="41" spans="1:12" s="141" customFormat="1" x14ac:dyDescent="0.2">
      <c r="I41" s="172"/>
      <c r="J41" s="172"/>
    </row>
    <row r="42" spans="1:12" s="141" customFormat="1" x14ac:dyDescent="0.2">
      <c r="I42" s="166"/>
      <c r="J42" s="166"/>
      <c r="L42" s="176"/>
    </row>
    <row r="43" spans="1:12" s="141" customFormat="1" x14ac:dyDescent="0.2">
      <c r="D43"/>
      <c r="E43"/>
      <c r="F43"/>
      <c r="I43" s="166"/>
      <c r="J43" s="166"/>
      <c r="L43" s="176"/>
    </row>
    <row r="44" spans="1:12" s="141" customFormat="1" x14ac:dyDescent="0.2">
      <c r="A44"/>
      <c r="B44"/>
      <c r="C44"/>
      <c r="D44"/>
      <c r="E44"/>
      <c r="F44"/>
      <c r="G44"/>
      <c r="H44"/>
      <c r="I44" s="166"/>
      <c r="J44" s="166"/>
      <c r="L44" s="176"/>
    </row>
    <row r="45" spans="1:12" s="141" customFormat="1" x14ac:dyDescent="0.2">
      <c r="A45"/>
      <c r="B45"/>
      <c r="C45"/>
      <c r="D45"/>
      <c r="E45"/>
      <c r="F45"/>
      <c r="G45"/>
      <c r="H45"/>
      <c r="I45" s="166"/>
      <c r="J45" s="166"/>
      <c r="L45" s="176"/>
    </row>
    <row r="46" spans="1:12" s="141" customFormat="1" x14ac:dyDescent="0.2">
      <c r="A46"/>
      <c r="B46"/>
      <c r="C46"/>
      <c r="D46"/>
      <c r="E46"/>
      <c r="F46"/>
      <c r="G46"/>
      <c r="H46"/>
      <c r="I46" s="166"/>
      <c r="J46" s="166"/>
      <c r="L46" s="176"/>
    </row>
    <row r="47" spans="1:12" s="141" customFormat="1" x14ac:dyDescent="0.2">
      <c r="A47"/>
      <c r="B47"/>
      <c r="C47"/>
      <c r="D47"/>
      <c r="E47"/>
      <c r="F47"/>
      <c r="G47"/>
      <c r="H47"/>
      <c r="I47" s="166"/>
      <c r="J47" s="166"/>
      <c r="L47" s="176"/>
    </row>
    <row r="48" spans="1:12" s="141" customFormat="1" x14ac:dyDescent="0.2">
      <c r="A48"/>
      <c r="B48"/>
      <c r="C48"/>
      <c r="D48"/>
      <c r="E48"/>
      <c r="F48"/>
      <c r="G48"/>
      <c r="H48"/>
      <c r="I48" s="166"/>
      <c r="J48" s="166"/>
      <c r="L48" s="176"/>
    </row>
    <row r="49" spans="1:12" s="141" customFormat="1" x14ac:dyDescent="0.2">
      <c r="A49"/>
      <c r="B49"/>
      <c r="C49"/>
      <c r="D49"/>
      <c r="E49"/>
      <c r="F49"/>
      <c r="G49"/>
      <c r="H49"/>
      <c r="I49" s="166"/>
      <c r="J49" s="166"/>
      <c r="L49" s="176"/>
    </row>
    <row r="50" spans="1:12" s="141" customFormat="1" x14ac:dyDescent="0.2">
      <c r="A50"/>
      <c r="B50"/>
      <c r="C50"/>
      <c r="D50"/>
      <c r="E50"/>
      <c r="F50"/>
      <c r="G50"/>
      <c r="H50"/>
      <c r="L50" s="176"/>
    </row>
    <row r="51" spans="1:12" s="141" customFormat="1" x14ac:dyDescent="0.2">
      <c r="A51"/>
      <c r="B51"/>
      <c r="C51"/>
      <c r="D51"/>
      <c r="E51"/>
      <c r="F51"/>
      <c r="G51"/>
      <c r="H51"/>
    </row>
    <row r="52" spans="1:12" s="141" customFormat="1" x14ac:dyDescent="0.2">
      <c r="A52"/>
      <c r="B52"/>
      <c r="C52"/>
      <c r="D52"/>
      <c r="E52"/>
      <c r="F52"/>
      <c r="G52"/>
      <c r="H52"/>
      <c r="I52" s="166"/>
      <c r="J52" s="166"/>
    </row>
    <row r="53" spans="1:12" s="141" customFormat="1" x14ac:dyDescent="0.2">
      <c r="A53"/>
      <c r="B53"/>
      <c r="C53"/>
      <c r="D53"/>
      <c r="E53"/>
      <c r="F53"/>
      <c r="G53"/>
      <c r="H53"/>
      <c r="I53" s="166"/>
      <c r="J53" s="166"/>
    </row>
    <row r="54" spans="1:12" s="141" customFormat="1" x14ac:dyDescent="0.2">
      <c r="A54"/>
      <c r="B54"/>
      <c r="C54"/>
      <c r="D54"/>
      <c r="E54"/>
      <c r="F54"/>
      <c r="G54"/>
      <c r="H54"/>
      <c r="I54" s="165"/>
      <c r="J54" s="165"/>
    </row>
    <row r="55" spans="1:12" s="141" customFormat="1" x14ac:dyDescent="0.2">
      <c r="A55"/>
      <c r="B55"/>
      <c r="C55"/>
      <c r="D55"/>
      <c r="E55"/>
      <c r="F55"/>
      <c r="G55"/>
      <c r="H55"/>
    </row>
    <row r="56" spans="1:12" s="141" customFormat="1" x14ac:dyDescent="0.2">
      <c r="A56"/>
      <c r="B56"/>
      <c r="C56"/>
      <c r="D56"/>
      <c r="E56"/>
      <c r="F56"/>
      <c r="G56"/>
      <c r="H56"/>
    </row>
    <row r="57" spans="1:12" s="141" customFormat="1" x14ac:dyDescent="0.2">
      <c r="A57"/>
      <c r="B57"/>
      <c r="C57"/>
      <c r="D57"/>
      <c r="E57"/>
      <c r="F57"/>
      <c r="G57"/>
      <c r="H57"/>
    </row>
    <row r="58" spans="1:12" s="141" customFormat="1" x14ac:dyDescent="0.2">
      <c r="A58"/>
      <c r="B58"/>
      <c r="C58"/>
      <c r="D58"/>
      <c r="E58"/>
      <c r="F58"/>
      <c r="G58"/>
      <c r="H58"/>
    </row>
    <row r="59" spans="1:12" s="141" customFormat="1" x14ac:dyDescent="0.2">
      <c r="A59"/>
      <c r="B59"/>
      <c r="C59"/>
      <c r="D59"/>
      <c r="E59"/>
      <c r="F59"/>
      <c r="G59"/>
      <c r="H59"/>
    </row>
    <row r="60" spans="1:12" s="141" customFormat="1" x14ac:dyDescent="0.2">
      <c r="A60"/>
      <c r="B60"/>
      <c r="C60"/>
      <c r="D60"/>
      <c r="E60"/>
      <c r="F60"/>
      <c r="G60"/>
      <c r="H60"/>
    </row>
    <row r="61" spans="1:12" s="141" customFormat="1" x14ac:dyDescent="0.2">
      <c r="A61"/>
      <c r="B61"/>
      <c r="C61"/>
      <c r="D61"/>
      <c r="E61"/>
      <c r="F61"/>
      <c r="G61"/>
      <c r="H61"/>
    </row>
    <row r="62" spans="1:12" s="141" customFormat="1" x14ac:dyDescent="0.2">
      <c r="A62"/>
      <c r="B62"/>
      <c r="C62"/>
      <c r="D62"/>
      <c r="E62"/>
      <c r="F62"/>
      <c r="G62"/>
      <c r="H62"/>
    </row>
  </sheetData>
  <sheetProtection password="C774" sheet="1"/>
  <mergeCells count="6">
    <mergeCell ref="A1:I1"/>
    <mergeCell ref="A2:I3"/>
    <mergeCell ref="F5:F7"/>
    <mergeCell ref="C5:C7"/>
    <mergeCell ref="D5:D7"/>
    <mergeCell ref="E5:E7"/>
  </mergeCells>
  <phoneticPr fontId="43" type="noConversion"/>
  <hyperlinks>
    <hyperlink ref="K1" location="'Main Menu'!A1" display="Main Menu"/>
  </hyperlinks>
  <pageMargins left="0.75" right="0.75" top="1" bottom="1" header="0.5" footer="0.5"/>
  <pageSetup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J13" sqref="J13"/>
    </sheetView>
  </sheetViews>
  <sheetFormatPr defaultRowHeight="12.75" x14ac:dyDescent="0.2"/>
  <cols>
    <col min="2" max="2" width="15.7109375" customWidth="1"/>
    <col min="3" max="3" width="6.42578125" customWidth="1"/>
    <col min="4" max="4" width="9" customWidth="1"/>
  </cols>
  <sheetData>
    <row r="1" spans="1:5" ht="22.15" customHeight="1" x14ac:dyDescent="0.25">
      <c r="A1" s="350" t="s">
        <v>400</v>
      </c>
      <c r="B1" s="349"/>
      <c r="C1" s="349"/>
      <c r="D1" s="349"/>
    </row>
    <row r="2" spans="1:5" ht="66.599999999999994" customHeight="1" x14ac:dyDescent="0.2"/>
    <row r="3" spans="1:5" x14ac:dyDescent="0.2">
      <c r="D3" s="321" t="s">
        <v>394</v>
      </c>
      <c r="E3" s="351">
        <v>12</v>
      </c>
    </row>
    <row r="4" spans="1:5" x14ac:dyDescent="0.2">
      <c r="D4" s="321" t="s">
        <v>395</v>
      </c>
      <c r="E4" s="351">
        <v>5</v>
      </c>
    </row>
    <row r="6" spans="1:5" x14ac:dyDescent="0.2">
      <c r="B6" s="348" t="s">
        <v>397</v>
      </c>
      <c r="C6" s="66">
        <f>$E$3</f>
        <v>12</v>
      </c>
      <c r="D6" s="343" t="s">
        <v>396</v>
      </c>
      <c r="E6" s="327">
        <f>_xlfn.POISSON.DIST($E$3,$E$4,FALSE)</f>
        <v>3.4342402855723282E-3</v>
      </c>
    </row>
    <row r="7" spans="1:5" x14ac:dyDescent="0.2">
      <c r="B7" s="348" t="s">
        <v>398</v>
      </c>
      <c r="C7" s="66">
        <f>$E$3</f>
        <v>12</v>
      </c>
      <c r="D7" s="343" t="s">
        <v>396</v>
      </c>
      <c r="E7" s="327">
        <f>E8-E6</f>
        <v>0.99454690808699053</v>
      </c>
    </row>
    <row r="8" spans="1:5" x14ac:dyDescent="0.2">
      <c r="B8" s="348" t="s">
        <v>399</v>
      </c>
      <c r="C8" s="66">
        <f>$E$3</f>
        <v>12</v>
      </c>
      <c r="D8" s="343" t="s">
        <v>396</v>
      </c>
      <c r="E8" s="327">
        <f>_xlfn.POISSON.DIST($E$3,$E$4,TRUE)</f>
        <v>0.99798114837256291</v>
      </c>
    </row>
    <row r="9" spans="1:5" x14ac:dyDescent="0.2">
      <c r="B9" s="348" t="s">
        <v>401</v>
      </c>
      <c r="C9" s="66">
        <f>$E$3</f>
        <v>12</v>
      </c>
      <c r="D9" s="343" t="s">
        <v>396</v>
      </c>
      <c r="E9" s="327">
        <f>1-_xlfn.POISSON.DIST($E$3,$E$4,TRUE)</f>
        <v>2.0188516274370905E-3</v>
      </c>
    </row>
    <row r="10" spans="1:5" x14ac:dyDescent="0.2">
      <c r="B10" s="348" t="s">
        <v>402</v>
      </c>
      <c r="C10" s="66">
        <f>$E$3</f>
        <v>12</v>
      </c>
      <c r="D10" s="343" t="s">
        <v>396</v>
      </c>
      <c r="E10" s="327">
        <f>1-_xlfn.POISSON.DIST($E$3-1,$E$4,TRUE)</f>
        <v>5.4530919130093558E-3</v>
      </c>
    </row>
  </sheetData>
  <sheetProtection password="C774" sheet="1" objects="1" scenarios="1"/>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election activeCell="E12" sqref="E12"/>
    </sheetView>
  </sheetViews>
  <sheetFormatPr defaultRowHeight="12.75" x14ac:dyDescent="0.2"/>
  <cols>
    <col min="2" max="2" width="15.7109375" customWidth="1"/>
    <col min="3" max="3" width="6.42578125" customWidth="1"/>
    <col min="4" max="4" width="9" customWidth="1"/>
  </cols>
  <sheetData>
    <row r="1" spans="1:5" ht="22.15" customHeight="1" x14ac:dyDescent="0.25">
      <c r="A1" s="350" t="s">
        <v>403</v>
      </c>
      <c r="B1" s="349"/>
      <c r="C1" s="349"/>
      <c r="D1" s="349"/>
    </row>
    <row r="2" spans="1:5" ht="66.599999999999994" customHeight="1" x14ac:dyDescent="0.2"/>
    <row r="3" spans="1:5" ht="14.25" customHeight="1" x14ac:dyDescent="0.2">
      <c r="D3" s="123" t="s">
        <v>404</v>
      </c>
      <c r="E3" s="351">
        <v>0.17</v>
      </c>
    </row>
    <row r="4" spans="1:5" x14ac:dyDescent="0.2">
      <c r="D4" s="321" t="s">
        <v>637</v>
      </c>
      <c r="E4" s="351">
        <v>12</v>
      </c>
    </row>
    <row r="5" spans="1:5" x14ac:dyDescent="0.2">
      <c r="D5" s="321" t="s">
        <v>636</v>
      </c>
      <c r="E5" s="351">
        <v>6</v>
      </c>
    </row>
    <row r="7" spans="1:5" x14ac:dyDescent="0.2">
      <c r="B7" s="348" t="s">
        <v>397</v>
      </c>
      <c r="C7" s="66">
        <f>$E$5</f>
        <v>6</v>
      </c>
      <c r="D7" s="343" t="s">
        <v>396</v>
      </c>
      <c r="E7" s="327">
        <f>_xlfn.BINOM.DIST($E$5,$E$4,$E$3,)</f>
        <v>7.291788338677929E-3</v>
      </c>
    </row>
    <row r="8" spans="1:5" x14ac:dyDescent="0.2">
      <c r="B8" s="348" t="s">
        <v>398</v>
      </c>
      <c r="C8" s="66">
        <f>$E$5</f>
        <v>6</v>
      </c>
      <c r="D8" s="343" t="s">
        <v>396</v>
      </c>
      <c r="E8" s="327">
        <f>1-E7-E10</f>
        <v>0.99124832736069202</v>
      </c>
    </row>
    <row r="9" spans="1:5" x14ac:dyDescent="0.2">
      <c r="B9" s="348" t="s">
        <v>399</v>
      </c>
      <c r="C9" s="66">
        <f>$E$5</f>
        <v>6</v>
      </c>
      <c r="D9" s="343" t="s">
        <v>396</v>
      </c>
      <c r="E9" s="327">
        <f>E7+E8</f>
        <v>0.99854011569936996</v>
      </c>
    </row>
    <row r="10" spans="1:5" x14ac:dyDescent="0.2">
      <c r="B10" s="348" t="s">
        <v>401</v>
      </c>
      <c r="C10" s="66">
        <f>$E$5</f>
        <v>6</v>
      </c>
      <c r="D10" s="343" t="s">
        <v>396</v>
      </c>
      <c r="E10" s="327">
        <f>1-_xlfn.BINOM.DIST($E$5,$E$4,$E$3,TRUE)</f>
        <v>1.4598843006300433E-3</v>
      </c>
    </row>
    <row r="11" spans="1:5" x14ac:dyDescent="0.2">
      <c r="B11" s="348" t="s">
        <v>402</v>
      </c>
      <c r="C11" s="66">
        <f>$E$5</f>
        <v>6</v>
      </c>
      <c r="D11" s="343" t="s">
        <v>396</v>
      </c>
      <c r="E11" s="327">
        <f>E7+E10</f>
        <v>8.7516726393079732E-3</v>
      </c>
    </row>
  </sheetData>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activeCell="F27" sqref="F27"/>
    </sheetView>
  </sheetViews>
  <sheetFormatPr defaultRowHeight="12.75" x14ac:dyDescent="0.2"/>
  <cols>
    <col min="1" max="1" width="11.140625" customWidth="1"/>
    <col min="2" max="2" width="12" customWidth="1"/>
    <col min="6" max="6" width="20.42578125" customWidth="1"/>
  </cols>
  <sheetData>
    <row r="1" spans="1:6" ht="34.5" customHeight="1" x14ac:dyDescent="0.2">
      <c r="A1" s="517" t="s">
        <v>373</v>
      </c>
      <c r="B1" s="518"/>
      <c r="C1" s="518"/>
      <c r="D1" s="519"/>
    </row>
    <row r="2" spans="1:6" ht="45" customHeight="1" x14ac:dyDescent="0.2">
      <c r="A2" s="515" t="s">
        <v>382</v>
      </c>
      <c r="B2" s="516"/>
      <c r="C2" s="516"/>
      <c r="D2" s="516"/>
      <c r="E2" s="516"/>
      <c r="F2" s="516"/>
    </row>
    <row r="3" spans="1:6" s="335" customFormat="1" x14ac:dyDescent="0.2">
      <c r="A3" s="335" t="s">
        <v>71</v>
      </c>
      <c r="B3" s="335" t="s">
        <v>374</v>
      </c>
      <c r="C3" s="335" t="s">
        <v>355</v>
      </c>
      <c r="F3" s="335" t="s">
        <v>381</v>
      </c>
    </row>
    <row r="4" spans="1:6" s="66" customFormat="1" x14ac:dyDescent="0.2">
      <c r="A4" s="66">
        <v>29</v>
      </c>
      <c r="B4" s="66">
        <v>6</v>
      </c>
      <c r="C4" s="66">
        <v>35</v>
      </c>
      <c r="D4" s="514" t="s">
        <v>21</v>
      </c>
      <c r="E4" s="426"/>
      <c r="F4" s="336">
        <f>NORMDIST(C4,A4,B4,TRUE)</f>
        <v>0.84134474606854304</v>
      </c>
    </row>
    <row r="6" spans="1:6" x14ac:dyDescent="0.2">
      <c r="A6" s="352"/>
      <c r="B6" s="352"/>
      <c r="C6" s="352"/>
      <c r="D6" s="513" t="s">
        <v>379</v>
      </c>
      <c r="E6" s="471"/>
      <c r="F6" s="336" t="e">
        <f>NORMDIST(C6,A6,B6,TRUE)</f>
        <v>#NUM!</v>
      </c>
    </row>
    <row r="10" spans="1:6" ht="37.5" customHeight="1" x14ac:dyDescent="0.2">
      <c r="A10" s="520" t="s">
        <v>380</v>
      </c>
      <c r="B10" s="520"/>
      <c r="C10" s="520"/>
      <c r="D10" s="520"/>
    </row>
    <row r="11" spans="1:6" x14ac:dyDescent="0.2">
      <c r="A11" s="515" t="s">
        <v>375</v>
      </c>
      <c r="B11" s="516"/>
      <c r="C11" s="516"/>
      <c r="D11" s="516"/>
      <c r="E11" s="516"/>
      <c r="F11" s="516"/>
    </row>
    <row r="12" spans="1:6" x14ac:dyDescent="0.2">
      <c r="A12" s="516"/>
      <c r="B12" s="516"/>
      <c r="C12" s="516"/>
      <c r="D12" s="516"/>
      <c r="E12" s="516"/>
      <c r="F12" s="516"/>
    </row>
    <row r="13" spans="1:6" x14ac:dyDescent="0.2">
      <c r="A13" s="440"/>
      <c r="B13" s="440"/>
      <c r="C13" s="440"/>
      <c r="D13" s="440"/>
      <c r="E13" s="440"/>
      <c r="F13" s="440"/>
    </row>
    <row r="15" spans="1:6" ht="33" customHeight="1" x14ac:dyDescent="0.2">
      <c r="A15" s="335" t="s">
        <v>376</v>
      </c>
      <c r="B15" s="335" t="s">
        <v>71</v>
      </c>
      <c r="C15" s="335" t="s">
        <v>377</v>
      </c>
      <c r="D15" s="335"/>
      <c r="E15" s="335"/>
      <c r="F15" s="337" t="s">
        <v>378</v>
      </c>
    </row>
    <row r="16" spans="1:6" x14ac:dyDescent="0.2">
      <c r="A16">
        <v>0.9</v>
      </c>
      <c r="B16">
        <v>28</v>
      </c>
      <c r="C16">
        <v>7</v>
      </c>
      <c r="D16" s="514" t="s">
        <v>21</v>
      </c>
      <c r="E16" s="426"/>
      <c r="F16" s="328">
        <f>_xlfn.NORM.INV(A16,B16,C16)</f>
        <v>36.970860958812203</v>
      </c>
    </row>
    <row r="17" spans="1:6" x14ac:dyDescent="0.2">
      <c r="D17" s="66"/>
      <c r="E17" s="66"/>
      <c r="F17" s="328"/>
    </row>
    <row r="18" spans="1:6" x14ac:dyDescent="0.2">
      <c r="A18" s="352">
        <v>0.8</v>
      </c>
      <c r="B18" s="352">
        <v>56</v>
      </c>
      <c r="C18" s="352">
        <v>5</v>
      </c>
      <c r="D18" s="513" t="s">
        <v>379</v>
      </c>
      <c r="E18" s="471"/>
      <c r="F18" s="328">
        <f>_xlfn.NORM.INV(A18,B18,C18)</f>
        <v>60.208106167864571</v>
      </c>
    </row>
    <row r="22" spans="1:6" x14ac:dyDescent="0.2">
      <c r="C22" s="181"/>
    </row>
  </sheetData>
  <mergeCells count="8">
    <mergeCell ref="D18:E18"/>
    <mergeCell ref="D4:E4"/>
    <mergeCell ref="D6:E6"/>
    <mergeCell ref="A2:F2"/>
    <mergeCell ref="A1:D1"/>
    <mergeCell ref="A10:D10"/>
    <mergeCell ref="A11:F13"/>
    <mergeCell ref="D16:E16"/>
  </mergeCell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96"/>
  <sheetViews>
    <sheetView workbookViewId="0">
      <selection activeCell="I34" sqref="I34"/>
    </sheetView>
  </sheetViews>
  <sheetFormatPr defaultRowHeight="12.75" x14ac:dyDescent="0.2"/>
  <cols>
    <col min="1" max="1" width="17" customWidth="1"/>
    <col min="2" max="2" width="10.28515625" customWidth="1"/>
    <col min="4" max="4" width="11.140625" customWidth="1"/>
    <col min="5" max="5" width="9.85546875" customWidth="1"/>
    <col min="6" max="6" width="9.28515625" customWidth="1"/>
    <col min="7" max="7" width="5.85546875" customWidth="1"/>
    <col min="8" max="8" width="15.7109375" customWidth="1"/>
    <col min="9" max="9" width="13" customWidth="1"/>
    <col min="12" max="12" width="6" customWidth="1"/>
    <col min="13" max="13" width="8.42578125" style="45" customWidth="1"/>
    <col min="14" max="14" width="7.5703125" customWidth="1"/>
    <col min="16" max="16" width="8" customWidth="1"/>
    <col min="17" max="17" width="9.28515625" customWidth="1"/>
    <col min="18" max="18" width="11.28515625" customWidth="1"/>
    <col min="19" max="19" width="8" customWidth="1"/>
    <col min="20" max="20" width="16.7109375" customWidth="1"/>
  </cols>
  <sheetData>
    <row r="1" spans="1:30" ht="27" customHeight="1" x14ac:dyDescent="0.2"/>
    <row r="2" spans="1:30" ht="64.150000000000006" customHeight="1" x14ac:dyDescent="0.2"/>
    <row r="3" spans="1:30" x14ac:dyDescent="0.2">
      <c r="AD3" s="138"/>
    </row>
    <row r="4" spans="1:30" x14ac:dyDescent="0.2">
      <c r="AD4" s="138"/>
    </row>
    <row r="7" spans="1:30" x14ac:dyDescent="0.2">
      <c r="A7" s="328" t="s">
        <v>410</v>
      </c>
    </row>
    <row r="8" spans="1:30" x14ac:dyDescent="0.2">
      <c r="A8" s="22" t="s">
        <v>411</v>
      </c>
      <c r="B8">
        <v>200</v>
      </c>
      <c r="X8" t="s">
        <v>412</v>
      </c>
      <c r="Z8" s="22" t="str">
        <f>L12</f>
        <v>Wks</v>
      </c>
      <c r="AA8" t="str">
        <f>N12</f>
        <v>Pred BMI</v>
      </c>
    </row>
    <row r="9" spans="1:30" x14ac:dyDescent="0.2">
      <c r="A9" s="22" t="s">
        <v>413</v>
      </c>
      <c r="B9">
        <v>70</v>
      </c>
      <c r="F9" s="1" t="s">
        <v>414</v>
      </c>
      <c r="G9" s="62">
        <f>(B8/(B9*B9))*703</f>
        <v>28.693877551020407</v>
      </c>
      <c r="R9" s="353"/>
      <c r="S9" s="353"/>
      <c r="T9" s="22" t="s">
        <v>415</v>
      </c>
      <c r="U9" s="22" t="s">
        <v>416</v>
      </c>
      <c r="V9" s="22" t="s">
        <v>417</v>
      </c>
      <c r="W9" s="22" t="s">
        <v>418</v>
      </c>
      <c r="X9" s="22" t="s">
        <v>419</v>
      </c>
      <c r="Z9" s="22">
        <f t="shared" ref="Z9:Z60" si="0">L13</f>
        <v>1</v>
      </c>
      <c r="AA9">
        <f t="shared" ref="AA9:AA60" si="1">N13</f>
        <v>28.524760424746567</v>
      </c>
    </row>
    <row r="10" spans="1:30" x14ac:dyDescent="0.2">
      <c r="A10" s="22" t="s">
        <v>420</v>
      </c>
      <c r="B10" t="s">
        <v>421</v>
      </c>
      <c r="R10" s="62"/>
      <c r="S10" s="62"/>
      <c r="T10" s="22"/>
      <c r="U10" s="22"/>
      <c r="V10" s="22"/>
      <c r="W10" s="22"/>
      <c r="X10" s="22"/>
      <c r="Z10" s="22">
        <f t="shared" si="0"/>
        <v>2</v>
      </c>
      <c r="AA10">
        <f t="shared" si="1"/>
        <v>28.189529065993352</v>
      </c>
    </row>
    <row r="11" spans="1:30" x14ac:dyDescent="0.2">
      <c r="A11" s="22" t="s">
        <v>422</v>
      </c>
      <c r="B11">
        <v>35</v>
      </c>
      <c r="T11" t="s">
        <v>423</v>
      </c>
      <c r="U11">
        <v>354</v>
      </c>
      <c r="V11">
        <v>422</v>
      </c>
      <c r="W11">
        <v>518</v>
      </c>
      <c r="X11">
        <v>2.73394495412844</v>
      </c>
      <c r="Z11" s="22">
        <f t="shared" si="0"/>
        <v>3</v>
      </c>
      <c r="AA11">
        <f t="shared" si="1"/>
        <v>27.862414427314818</v>
      </c>
    </row>
    <row r="12" spans="1:30" ht="25.5" x14ac:dyDescent="0.2">
      <c r="A12" s="328"/>
      <c r="C12" s="521" t="s">
        <v>424</v>
      </c>
      <c r="D12" s="521"/>
      <c r="E12" s="521"/>
      <c r="F12" s="521"/>
      <c r="H12" s="328" t="s">
        <v>425</v>
      </c>
      <c r="L12" s="22" t="s">
        <v>426</v>
      </c>
      <c r="M12" s="369" t="s">
        <v>427</v>
      </c>
      <c r="N12" s="353" t="s">
        <v>428</v>
      </c>
      <c r="O12" s="353" t="s">
        <v>429</v>
      </c>
      <c r="P12" s="353" t="s">
        <v>430</v>
      </c>
      <c r="Q12" s="353" t="s">
        <v>431</v>
      </c>
      <c r="R12" s="353" t="s">
        <v>432</v>
      </c>
      <c r="S12" s="353" t="s">
        <v>433</v>
      </c>
      <c r="T12" t="s">
        <v>434</v>
      </c>
      <c r="U12">
        <v>413</v>
      </c>
      <c r="V12">
        <v>493</v>
      </c>
      <c r="W12">
        <v>604</v>
      </c>
      <c r="X12">
        <v>3.1825688073394498</v>
      </c>
      <c r="Z12" s="22">
        <f t="shared" si="0"/>
        <v>4</v>
      </c>
      <c r="AA12">
        <f t="shared" si="1"/>
        <v>27.543219984301622</v>
      </c>
    </row>
    <row r="13" spans="1:30" x14ac:dyDescent="0.2">
      <c r="A13" s="22" t="s">
        <v>435</v>
      </c>
      <c r="G13" s="366"/>
      <c r="H13" s="41" t="s">
        <v>436</v>
      </c>
      <c r="I13" s="41" t="s">
        <v>437</v>
      </c>
      <c r="J13" s="367" t="s">
        <v>419</v>
      </c>
      <c r="L13" s="138">
        <v>1</v>
      </c>
      <c r="M13" s="45">
        <f>B8-(B8*$H$14/60*$I$14*(IF($J$14&gt;0,$J$14,0))+B8*$H$15/60*(IF($J$15&gt;0,$J$15,0))+B8*$H$16/60*$I$16*(IF($J$16&gt;0,$J$16,0)))/3500</f>
        <v>198.82123197903013</v>
      </c>
      <c r="N13" s="62">
        <f t="shared" ref="N13:N64" si="2">(M13/($B$9*$B$9))*703</f>
        <v>28.524760424746567</v>
      </c>
      <c r="O13">
        <v>220</v>
      </c>
      <c r="P13" s="62">
        <f>IF(O13&gt;0, (O13/(B9*B9))*703,"")</f>
        <v>31.563265306122446</v>
      </c>
      <c r="Q13" s="62">
        <f>IF($B$10="male", 66+6.23*M13+12.7*$B$9-6.6*$B$11,IF($B$10="female", 655+4.35*M13+4.7*$B$9-4.7*$B$11,0))</f>
        <v>1962.6562752293576</v>
      </c>
      <c r="R13">
        <v>0</v>
      </c>
      <c r="S13">
        <v>0</v>
      </c>
      <c r="T13" t="s">
        <v>438</v>
      </c>
      <c r="U13">
        <v>295</v>
      </c>
      <c r="V13">
        <v>352</v>
      </c>
      <c r="W13">
        <v>431</v>
      </c>
      <c r="X13">
        <v>2.26605504587156</v>
      </c>
      <c r="Z13" s="22">
        <f t="shared" si="0"/>
        <v>5</v>
      </c>
      <c r="AA13">
        <f t="shared" si="1"/>
        <v>27.231753970851127</v>
      </c>
    </row>
    <row r="14" spans="1:30" x14ac:dyDescent="0.2">
      <c r="B14" s="366" t="s">
        <v>439</v>
      </c>
      <c r="C14" s="448" t="s">
        <v>451</v>
      </c>
      <c r="D14" s="448"/>
      <c r="E14" s="448"/>
      <c r="F14" s="448"/>
      <c r="G14" s="266"/>
      <c r="H14">
        <v>30</v>
      </c>
      <c r="I14">
        <v>1</v>
      </c>
      <c r="J14" s="368">
        <f>IF(C14&gt;0,LOOKUP(C14,T11:T196,X11:X196),0)</f>
        <v>2.73394495412844</v>
      </c>
      <c r="L14">
        <f>L13+1</f>
        <v>2</v>
      </c>
      <c r="M14" s="45">
        <f t="shared" ref="M14:M64" si="3">M13-(7*S13+M13*$H$14/60*$I$14*(IF($J$14&gt;0,$J$14,0))+M13*$H$15/60*$I$15*(IF($J$15&gt;0,$J$15,0))+M13*$H$16/60*$I$16*(IF($J$16&gt;0,$J$16,0)))/3500</f>
        <v>196.48462649127657</v>
      </c>
      <c r="N14" s="62">
        <f t="shared" si="2"/>
        <v>28.189529065993352</v>
      </c>
      <c r="P14" s="62" t="str">
        <f>IF(O14&gt;0, (O14/(B10*B10))*703,"")</f>
        <v/>
      </c>
      <c r="Q14" s="62">
        <f t="shared" ref="Q14:Q64" si="4">IF($B$10="male", 66+6.23*M14+12.7*$B$9-6.6*$B$11,IF($B$10="female", 655+4.35*M14+4.7*$B$9-4.7*$B$11,0))</f>
        <v>1948.0992230406532</v>
      </c>
      <c r="R14" s="62">
        <f>Q14-Q13</f>
        <v>-14.557052188704347</v>
      </c>
      <c r="S14" s="62">
        <f>S13+R14</f>
        <v>-14.557052188704347</v>
      </c>
      <c r="T14" t="s">
        <v>441</v>
      </c>
      <c r="U14">
        <v>413</v>
      </c>
      <c r="V14">
        <v>493</v>
      </c>
      <c r="W14">
        <v>604</v>
      </c>
      <c r="X14">
        <v>3.1825688073394498</v>
      </c>
      <c r="Z14" s="22">
        <f t="shared" si="0"/>
        <v>6</v>
      </c>
      <c r="AA14">
        <f t="shared" si="1"/>
        <v>26.927829263957857</v>
      </c>
    </row>
    <row r="15" spans="1:30" x14ac:dyDescent="0.2">
      <c r="B15" s="22" t="s">
        <v>442</v>
      </c>
      <c r="C15" s="448" t="s">
        <v>443</v>
      </c>
      <c r="D15" s="448"/>
      <c r="E15" s="448"/>
      <c r="F15" s="448"/>
      <c r="G15" s="266"/>
      <c r="H15">
        <v>75</v>
      </c>
      <c r="I15">
        <v>7</v>
      </c>
      <c r="J15" s="368">
        <f>IF(C15&gt;0,LOOKUP(C15,T12:T197,X12:X197),0)</f>
        <v>2.73394495412844</v>
      </c>
      <c r="L15">
        <f t="shared" ref="L15:L64" si="5">L14+1</f>
        <v>3</v>
      </c>
      <c r="M15" s="45">
        <f t="shared" si="3"/>
        <v>194.20459558156844</v>
      </c>
      <c r="N15" s="62">
        <f t="shared" si="2"/>
        <v>27.862414427314818</v>
      </c>
      <c r="P15" s="62" t="str">
        <f t="shared" ref="P15:P64" si="6">IF(O15&gt;0, (O15/(B13*B13))*703,"")</f>
        <v/>
      </c>
      <c r="Q15" s="62">
        <f t="shared" si="4"/>
        <v>1933.8946304731717</v>
      </c>
      <c r="R15" s="62">
        <f t="shared" ref="R15:R64" si="7">Q15-Q14</f>
        <v>-14.204592567481541</v>
      </c>
      <c r="S15" s="62">
        <f t="shared" ref="S15:S64" si="8">S14+R15</f>
        <v>-28.761644756185888</v>
      </c>
      <c r="T15" t="s">
        <v>444</v>
      </c>
      <c r="U15">
        <v>472</v>
      </c>
      <c r="V15">
        <v>563</v>
      </c>
      <c r="W15">
        <v>690</v>
      </c>
      <c r="X15">
        <v>3.6330275229357798</v>
      </c>
      <c r="Z15" s="22">
        <f t="shared" si="0"/>
        <v>7</v>
      </c>
      <c r="AA15">
        <f t="shared" si="1"/>
        <v>26.631263271293484</v>
      </c>
    </row>
    <row r="16" spans="1:30" x14ac:dyDescent="0.2">
      <c r="B16" s="22" t="s">
        <v>445</v>
      </c>
      <c r="C16" s="448" t="s">
        <v>492</v>
      </c>
      <c r="D16" s="448"/>
      <c r="E16" s="448"/>
      <c r="F16" s="448"/>
      <c r="G16" s="266"/>
      <c r="H16">
        <v>120</v>
      </c>
      <c r="I16">
        <v>5</v>
      </c>
      <c r="J16" s="368">
        <f>IF(C16&gt;0,LOOKUP(C16,T13:T198,X13:X198),0)</f>
        <v>1.5844036697247701</v>
      </c>
      <c r="L16">
        <f t="shared" si="5"/>
        <v>4</v>
      </c>
      <c r="M16" s="45">
        <f t="shared" si="3"/>
        <v>191.97976944961303</v>
      </c>
      <c r="N16" s="62">
        <f t="shared" si="2"/>
        <v>27.543219984301622</v>
      </c>
      <c r="P16" s="62" t="str">
        <f t="shared" si="6"/>
        <v/>
      </c>
      <c r="Q16" s="62">
        <f t="shared" si="4"/>
        <v>1920.0339636710892</v>
      </c>
      <c r="R16" s="62">
        <f t="shared" si="7"/>
        <v>-13.860666802082505</v>
      </c>
      <c r="S16" s="62">
        <f t="shared" si="8"/>
        <v>-42.622311558268393</v>
      </c>
      <c r="T16" t="s">
        <v>446</v>
      </c>
      <c r="U16">
        <v>354</v>
      </c>
      <c r="V16">
        <v>422</v>
      </c>
      <c r="W16">
        <v>518</v>
      </c>
      <c r="X16">
        <v>2.73394495412844</v>
      </c>
      <c r="Z16" s="22">
        <f t="shared" si="0"/>
        <v>8</v>
      </c>
      <c r="AA16">
        <f t="shared" si="1"/>
        <v>26.341877821508749</v>
      </c>
    </row>
    <row r="17" spans="12:27" x14ac:dyDescent="0.2">
      <c r="L17">
        <f t="shared" si="5"/>
        <v>5</v>
      </c>
      <c r="M17" s="45">
        <f t="shared" si="3"/>
        <v>189.80881146112449</v>
      </c>
      <c r="N17" s="62">
        <f t="shared" si="2"/>
        <v>27.231753970851127</v>
      </c>
      <c r="P17" s="62" t="str">
        <f t="shared" si="6"/>
        <v/>
      </c>
      <c r="Q17" s="62">
        <f t="shared" si="4"/>
        <v>1906.5088954028056</v>
      </c>
      <c r="R17" s="62">
        <f t="shared" si="7"/>
        <v>-13.525068268283576</v>
      </c>
      <c r="S17" s="62">
        <f t="shared" si="8"/>
        <v>-56.147379826551969</v>
      </c>
      <c r="T17" t="s">
        <v>447</v>
      </c>
      <c r="U17">
        <v>413</v>
      </c>
      <c r="V17">
        <v>493</v>
      </c>
      <c r="W17">
        <v>604</v>
      </c>
      <c r="X17">
        <v>3.1825688073394498</v>
      </c>
      <c r="Z17" s="22">
        <f t="shared" si="0"/>
        <v>9</v>
      </c>
      <c r="AA17">
        <f t="shared" si="1"/>
        <v>26.059499057191399</v>
      </c>
    </row>
    <row r="18" spans="12:27" x14ac:dyDescent="0.2">
      <c r="L18">
        <f t="shared" si="5"/>
        <v>6</v>
      </c>
      <c r="M18" s="45">
        <f t="shared" si="3"/>
        <v>187.6904173447987</v>
      </c>
      <c r="N18" s="62">
        <f t="shared" si="2"/>
        <v>26.927829263957857</v>
      </c>
      <c r="P18" s="62" t="str">
        <f t="shared" si="6"/>
        <v/>
      </c>
      <c r="Q18" s="62">
        <f t="shared" si="4"/>
        <v>1893.3113000580961</v>
      </c>
      <c r="R18" s="62">
        <f t="shared" si="7"/>
        <v>-13.197595344709498</v>
      </c>
      <c r="S18" s="62">
        <f t="shared" si="8"/>
        <v>-69.344975171261467</v>
      </c>
      <c r="T18" t="s">
        <v>440</v>
      </c>
      <c r="U18">
        <v>266</v>
      </c>
      <c r="V18">
        <v>317</v>
      </c>
      <c r="W18">
        <v>388</v>
      </c>
      <c r="X18">
        <v>2.0330275229357802</v>
      </c>
      <c r="Z18" s="22">
        <f t="shared" si="0"/>
        <v>10</v>
      </c>
      <c r="AA18">
        <f t="shared" si="1"/>
        <v>25.783957330415888</v>
      </c>
    </row>
    <row r="19" spans="12:27" x14ac:dyDescent="0.2">
      <c r="L19">
        <f t="shared" si="5"/>
        <v>7</v>
      </c>
      <c r="M19" s="45">
        <f t="shared" si="3"/>
        <v>185.62331440873126</v>
      </c>
      <c r="N19" s="62">
        <f t="shared" si="2"/>
        <v>26.631263271293484</v>
      </c>
      <c r="P19" s="62" t="str">
        <f t="shared" si="6"/>
        <v/>
      </c>
      <c r="Q19" s="62">
        <f t="shared" si="4"/>
        <v>1880.433248766396</v>
      </c>
      <c r="R19" s="62">
        <f t="shared" si="7"/>
        <v>-12.878051291700103</v>
      </c>
      <c r="S19" s="62">
        <f t="shared" si="8"/>
        <v>-82.22302646296157</v>
      </c>
      <c r="T19" t="s">
        <v>448</v>
      </c>
      <c r="U19">
        <v>384</v>
      </c>
      <c r="V19">
        <v>457</v>
      </c>
      <c r="W19">
        <v>561</v>
      </c>
      <c r="X19">
        <v>2.9513761467889901</v>
      </c>
      <c r="Z19" s="22">
        <f t="shared" si="0"/>
        <v>11</v>
      </c>
      <c r="AA19">
        <f t="shared" si="1"/>
        <v>25.515087100822051</v>
      </c>
    </row>
    <row r="20" spans="12:27" x14ac:dyDescent="0.2">
      <c r="L20">
        <f t="shared" si="5"/>
        <v>8</v>
      </c>
      <c r="M20" s="45">
        <f t="shared" si="3"/>
        <v>183.60626077580778</v>
      </c>
      <c r="N20" s="62">
        <f t="shared" si="2"/>
        <v>26.341877821508749</v>
      </c>
      <c r="P20" s="62" t="str">
        <f t="shared" si="6"/>
        <v/>
      </c>
      <c r="Q20" s="62">
        <f t="shared" si="4"/>
        <v>1867.8670046332827</v>
      </c>
      <c r="R20" s="62">
        <f t="shared" si="7"/>
        <v>-12.566244133113287</v>
      </c>
      <c r="S20" s="62">
        <f t="shared" si="8"/>
        <v>-94.789270596074857</v>
      </c>
      <c r="T20" t="s">
        <v>449</v>
      </c>
      <c r="U20">
        <v>236</v>
      </c>
      <c r="V20">
        <v>281</v>
      </c>
      <c r="W20">
        <v>345</v>
      </c>
      <c r="X20">
        <v>1.81743119266055</v>
      </c>
      <c r="Z20" s="22">
        <f t="shared" si="0"/>
        <v>12</v>
      </c>
      <c r="AA20">
        <f t="shared" si="1"/>
        <v>25.252726836161514</v>
      </c>
    </row>
    <row r="21" spans="12:27" x14ac:dyDescent="0.2">
      <c r="L21">
        <f t="shared" si="5"/>
        <v>9</v>
      </c>
      <c r="M21" s="45">
        <f t="shared" si="3"/>
        <v>181.63804463760718</v>
      </c>
      <c r="N21" s="62">
        <f t="shared" si="2"/>
        <v>26.059499057191399</v>
      </c>
      <c r="P21" s="62" t="str">
        <f t="shared" si="6"/>
        <v/>
      </c>
      <c r="Q21" s="62">
        <f t="shared" si="4"/>
        <v>1855.605018092293</v>
      </c>
      <c r="R21" s="62">
        <f t="shared" si="7"/>
        <v>-12.26198654098971</v>
      </c>
      <c r="S21" s="62">
        <f t="shared" si="8"/>
        <v>-107.05125713706457</v>
      </c>
      <c r="T21" t="s">
        <v>450</v>
      </c>
      <c r="U21">
        <v>944</v>
      </c>
      <c r="V21">
        <v>1126</v>
      </c>
      <c r="W21">
        <v>1380</v>
      </c>
      <c r="X21">
        <v>7.2660550458715596</v>
      </c>
      <c r="Z21" s="22">
        <f t="shared" si="0"/>
        <v>13</v>
      </c>
      <c r="AA21">
        <f t="shared" si="1"/>
        <v>24.996718915252139</v>
      </c>
    </row>
    <row r="22" spans="12:27" x14ac:dyDescent="0.2">
      <c r="L22">
        <f t="shared" si="5"/>
        <v>10</v>
      </c>
      <c r="M22" s="45">
        <f t="shared" si="3"/>
        <v>179.71748352636962</v>
      </c>
      <c r="N22" s="62">
        <f t="shared" si="2"/>
        <v>25.783957330415888</v>
      </c>
      <c r="P22" s="62" t="str">
        <f t="shared" si="6"/>
        <v/>
      </c>
      <c r="Q22" s="62">
        <f t="shared" si="4"/>
        <v>1843.6399223692829</v>
      </c>
      <c r="R22" s="62">
        <f t="shared" si="7"/>
        <v>-11.965095723010108</v>
      </c>
      <c r="S22" s="62">
        <f t="shared" si="8"/>
        <v>-119.01635286007468</v>
      </c>
      <c r="T22" t="s">
        <v>451</v>
      </c>
      <c r="U22">
        <v>354</v>
      </c>
      <c r="V22">
        <v>422</v>
      </c>
      <c r="W22">
        <v>518</v>
      </c>
      <c r="X22">
        <v>2.73394495412844</v>
      </c>
      <c r="Z22" s="22">
        <f t="shared" si="0"/>
        <v>14</v>
      </c>
      <c r="AA22">
        <f t="shared" si="1"/>
        <v>24.746909533282111</v>
      </c>
    </row>
    <row r="23" spans="12:27" x14ac:dyDescent="0.2">
      <c r="L23">
        <f t="shared" si="5"/>
        <v>11</v>
      </c>
      <c r="M23" s="45">
        <f t="shared" si="3"/>
        <v>177.84342360459181</v>
      </c>
      <c r="N23" s="62">
        <f t="shared" si="2"/>
        <v>25.515087100822051</v>
      </c>
      <c r="P23" s="62" t="str">
        <f t="shared" si="6"/>
        <v/>
      </c>
      <c r="Q23" s="62">
        <f t="shared" si="4"/>
        <v>1831.9645290566068</v>
      </c>
      <c r="R23" s="62">
        <f t="shared" si="7"/>
        <v>-11.675393312676078</v>
      </c>
      <c r="S23" s="62">
        <f t="shared" si="8"/>
        <v>-130.69174617275075</v>
      </c>
      <c r="T23" t="s">
        <v>452</v>
      </c>
      <c r="U23">
        <v>472</v>
      </c>
      <c r="V23">
        <v>563</v>
      </c>
      <c r="W23">
        <v>690</v>
      </c>
      <c r="X23">
        <v>3.6330275229357798</v>
      </c>
      <c r="Z23" s="22">
        <f t="shared" si="0"/>
        <v>15</v>
      </c>
      <c r="AA23">
        <f t="shared" si="1"/>
        <v>24.503148609406871</v>
      </c>
    </row>
    <row r="24" spans="12:27" x14ac:dyDescent="0.2">
      <c r="L24">
        <f t="shared" si="5"/>
        <v>12</v>
      </c>
      <c r="M24" s="45">
        <f t="shared" si="3"/>
        <v>176.01473897182279</v>
      </c>
      <c r="N24" s="62">
        <f t="shared" si="2"/>
        <v>25.252726836161514</v>
      </c>
      <c r="P24" s="62" t="str">
        <f t="shared" si="6"/>
        <v/>
      </c>
      <c r="Q24" s="62">
        <f t="shared" si="4"/>
        <v>1820.5718237944561</v>
      </c>
      <c r="R24" s="62">
        <f t="shared" si="7"/>
        <v>-11.392705262150685</v>
      </c>
      <c r="S24" s="62">
        <f t="shared" si="8"/>
        <v>-142.08445143490144</v>
      </c>
      <c r="T24" t="s">
        <v>453</v>
      </c>
      <c r="U24">
        <v>590</v>
      </c>
      <c r="V24">
        <v>704</v>
      </c>
      <c r="W24">
        <v>863</v>
      </c>
      <c r="X24">
        <v>4.54954128440367</v>
      </c>
      <c r="Z24" s="22">
        <f t="shared" si="0"/>
        <v>16</v>
      </c>
      <c r="AA24">
        <f t="shared" si="1"/>
        <v>24.265289696583341</v>
      </c>
    </row>
    <row r="25" spans="12:27" x14ac:dyDescent="0.2">
      <c r="L25">
        <f t="shared" si="5"/>
        <v>13</v>
      </c>
      <c r="M25" s="45">
        <f t="shared" si="3"/>
        <v>174.23033098824394</v>
      </c>
      <c r="N25" s="62">
        <f t="shared" si="2"/>
        <v>24.996718915252139</v>
      </c>
      <c r="P25" s="62" t="str">
        <f t="shared" si="6"/>
        <v/>
      </c>
      <c r="Q25" s="62">
        <f t="shared" si="4"/>
        <v>1809.4549620567598</v>
      </c>
      <c r="R25" s="62">
        <f t="shared" si="7"/>
        <v>-11.116861737696354</v>
      </c>
      <c r="S25" s="62">
        <f t="shared" si="8"/>
        <v>-153.20131317259779</v>
      </c>
      <c r="T25" t="s">
        <v>454</v>
      </c>
      <c r="U25">
        <v>708</v>
      </c>
      <c r="V25">
        <v>844</v>
      </c>
      <c r="W25">
        <v>1035</v>
      </c>
      <c r="X25">
        <v>5.45045871559633</v>
      </c>
      <c r="Z25" s="22">
        <f t="shared" si="0"/>
        <v>17</v>
      </c>
      <c r="AA25">
        <f t="shared" si="1"/>
        <v>24.033189893587235</v>
      </c>
    </row>
    <row r="26" spans="12:27" x14ac:dyDescent="0.2">
      <c r="L26">
        <f t="shared" si="5"/>
        <v>14</v>
      </c>
      <c r="M26" s="45">
        <f t="shared" si="3"/>
        <v>172.48912761462637</v>
      </c>
      <c r="N26" s="62">
        <f t="shared" si="2"/>
        <v>24.746909533282111</v>
      </c>
      <c r="P26" s="62" t="str">
        <f t="shared" si="6"/>
        <v/>
      </c>
      <c r="Q26" s="62">
        <f t="shared" si="4"/>
        <v>1798.6072650391225</v>
      </c>
      <c r="R26" s="62">
        <f t="shared" si="7"/>
        <v>-10.847697017637302</v>
      </c>
      <c r="S26" s="62">
        <f t="shared" si="8"/>
        <v>-164.04901019023509</v>
      </c>
      <c r="T26" t="s">
        <v>455</v>
      </c>
      <c r="U26">
        <v>502</v>
      </c>
      <c r="V26">
        <v>598</v>
      </c>
      <c r="W26">
        <v>733</v>
      </c>
      <c r="X26">
        <v>3.8504587155963299</v>
      </c>
      <c r="Z26" s="22">
        <f t="shared" si="0"/>
        <v>18</v>
      </c>
      <c r="AA26">
        <f t="shared" si="1"/>
        <v>23.806709759160665</v>
      </c>
    </row>
    <row r="27" spans="12:27" x14ac:dyDescent="0.2">
      <c r="L27">
        <f t="shared" si="5"/>
        <v>15</v>
      </c>
      <c r="M27" s="45">
        <f t="shared" si="3"/>
        <v>170.7900827682698</v>
      </c>
      <c r="N27" s="62">
        <f t="shared" si="2"/>
        <v>24.503148609406871</v>
      </c>
      <c r="P27" s="62" t="str">
        <f t="shared" si="6"/>
        <v/>
      </c>
      <c r="Q27" s="62">
        <f t="shared" si="4"/>
        <v>1788.022215646321</v>
      </c>
      <c r="R27" s="62">
        <f t="shared" si="7"/>
        <v>-10.585049392801466</v>
      </c>
      <c r="S27" s="62">
        <f t="shared" si="8"/>
        <v>-174.63405958303656</v>
      </c>
      <c r="T27" t="s">
        <v>456</v>
      </c>
      <c r="U27">
        <v>295</v>
      </c>
      <c r="V27">
        <v>352</v>
      </c>
      <c r="W27">
        <v>431</v>
      </c>
      <c r="X27">
        <v>2.26605504587156</v>
      </c>
      <c r="Z27" s="22">
        <f t="shared" si="0"/>
        <v>19</v>
      </c>
      <c r="AA27">
        <f t="shared" si="1"/>
        <v>23.585713228238408</v>
      </c>
    </row>
    <row r="28" spans="12:27" x14ac:dyDescent="0.2">
      <c r="L28">
        <f t="shared" si="5"/>
        <v>16</v>
      </c>
      <c r="M28" s="45">
        <f t="shared" si="3"/>
        <v>169.13217569453539</v>
      </c>
      <c r="N28" s="62">
        <f t="shared" si="2"/>
        <v>24.265289696583341</v>
      </c>
      <c r="P28" s="62" t="str">
        <f t="shared" si="6"/>
        <v/>
      </c>
      <c r="Q28" s="62">
        <f t="shared" si="4"/>
        <v>1777.6934545769554</v>
      </c>
      <c r="R28" s="62">
        <f t="shared" si="7"/>
        <v>-10.328761069365555</v>
      </c>
      <c r="S28" s="62">
        <f t="shared" si="8"/>
        <v>-184.96282065240212</v>
      </c>
      <c r="T28" t="s">
        <v>457</v>
      </c>
      <c r="U28">
        <v>325</v>
      </c>
      <c r="V28">
        <v>387</v>
      </c>
      <c r="W28">
        <v>474</v>
      </c>
      <c r="X28">
        <v>2.4834862385321101</v>
      </c>
      <c r="Z28" s="22">
        <f t="shared" si="0"/>
        <v>20</v>
      </c>
      <c r="AA28">
        <f t="shared" si="1"/>
        <v>23.370067530202558</v>
      </c>
    </row>
    <row r="29" spans="12:27" x14ac:dyDescent="0.2">
      <c r="L29">
        <f t="shared" si="5"/>
        <v>17</v>
      </c>
      <c r="M29" s="45">
        <f t="shared" si="3"/>
        <v>167.51441035359525</v>
      </c>
      <c r="N29" s="62">
        <f t="shared" si="2"/>
        <v>24.033189893587235</v>
      </c>
      <c r="P29" s="62" t="str">
        <f t="shared" si="6"/>
        <v/>
      </c>
      <c r="Q29" s="62">
        <f t="shared" si="4"/>
        <v>1767.6147765028984</v>
      </c>
      <c r="R29" s="62">
        <f t="shared" si="7"/>
        <v>-10.078678074057052</v>
      </c>
      <c r="S29" s="62">
        <f t="shared" si="8"/>
        <v>-195.04149872645917</v>
      </c>
      <c r="T29" t="s">
        <v>458</v>
      </c>
      <c r="U29">
        <v>413</v>
      </c>
      <c r="V29">
        <v>493</v>
      </c>
      <c r="W29">
        <v>604</v>
      </c>
      <c r="X29">
        <v>3.1825688073394498</v>
      </c>
      <c r="Z29" s="22">
        <f t="shared" si="0"/>
        <v>21</v>
      </c>
      <c r="AA29">
        <f t="shared" si="1"/>
        <v>23.159643109116381</v>
      </c>
    </row>
    <row r="30" spans="12:27" x14ac:dyDescent="0.2">
      <c r="L30">
        <f t="shared" si="5"/>
        <v>18</v>
      </c>
      <c r="M30" s="45">
        <f t="shared" si="3"/>
        <v>165.93581482203024</v>
      </c>
      <c r="N30" s="62">
        <f t="shared" si="2"/>
        <v>23.806709759160665</v>
      </c>
      <c r="P30" s="62" t="str">
        <f t="shared" si="6"/>
        <v/>
      </c>
      <c r="Q30" s="62">
        <f t="shared" si="4"/>
        <v>1757.7801263412484</v>
      </c>
      <c r="R30" s="62">
        <f t="shared" si="7"/>
        <v>-9.8346501616499609</v>
      </c>
      <c r="S30" s="62">
        <f t="shared" si="8"/>
        <v>-204.87614888810913</v>
      </c>
      <c r="T30" t="s">
        <v>459</v>
      </c>
      <c r="U30">
        <v>177</v>
      </c>
      <c r="V30">
        <v>211</v>
      </c>
      <c r="W30">
        <v>259</v>
      </c>
      <c r="X30">
        <v>1.36697247706422</v>
      </c>
      <c r="Z30" s="22">
        <f t="shared" si="0"/>
        <v>22</v>
      </c>
      <c r="AA30">
        <f t="shared" si="1"/>
        <v>22.954313545889512</v>
      </c>
    </row>
    <row r="31" spans="12:27" x14ac:dyDescent="0.2">
      <c r="L31">
        <f t="shared" si="5"/>
        <v>19</v>
      </c>
      <c r="M31" s="45">
        <f t="shared" si="3"/>
        <v>164.39544070891637</v>
      </c>
      <c r="N31" s="62">
        <f t="shared" si="2"/>
        <v>23.585713228238408</v>
      </c>
      <c r="P31" s="62" t="str">
        <f t="shared" si="6"/>
        <v/>
      </c>
      <c r="Q31" s="62">
        <f t="shared" si="4"/>
        <v>1748.1835956165492</v>
      </c>
      <c r="R31" s="62">
        <f t="shared" si="7"/>
        <v>-9.5965307246992779</v>
      </c>
      <c r="S31" s="62">
        <f t="shared" si="8"/>
        <v>-214.47267961280841</v>
      </c>
      <c r="T31" t="s">
        <v>460</v>
      </c>
      <c r="U31">
        <v>738</v>
      </c>
      <c r="V31">
        <v>880</v>
      </c>
      <c r="W31">
        <v>1078</v>
      </c>
      <c r="X31">
        <v>5.6660550458715599</v>
      </c>
      <c r="Z31" s="22">
        <f t="shared" si="0"/>
        <v>23</v>
      </c>
      <c r="AA31">
        <f t="shared" si="1"/>
        <v>22.75395548232774</v>
      </c>
    </row>
    <row r="32" spans="12:27" x14ac:dyDescent="0.2">
      <c r="L32">
        <f t="shared" si="5"/>
        <v>20</v>
      </c>
      <c r="M32" s="45">
        <f t="shared" si="3"/>
        <v>162.89236258604913</v>
      </c>
      <c r="N32" s="62">
        <f t="shared" si="2"/>
        <v>23.370067530202558</v>
      </c>
      <c r="P32" s="62" t="str">
        <f t="shared" si="6"/>
        <v/>
      </c>
      <c r="Q32" s="62">
        <f t="shared" si="4"/>
        <v>1738.8194189110861</v>
      </c>
      <c r="R32" s="62">
        <f t="shared" si="7"/>
        <v>-9.3641767054630236</v>
      </c>
      <c r="S32" s="62">
        <f t="shared" si="8"/>
        <v>-223.83685631827143</v>
      </c>
      <c r="T32" t="s">
        <v>461</v>
      </c>
      <c r="U32">
        <v>620</v>
      </c>
      <c r="V32">
        <v>739</v>
      </c>
      <c r="W32">
        <v>906</v>
      </c>
      <c r="X32">
        <v>4.7669724770642201</v>
      </c>
      <c r="Z32" s="22">
        <f t="shared" si="0"/>
        <v>24</v>
      </c>
      <c r="AA32">
        <f t="shared" si="1"/>
        <v>22.558448547021641</v>
      </c>
    </row>
    <row r="33" spans="12:27" x14ac:dyDescent="0.2">
      <c r="L33">
        <f t="shared" si="5"/>
        <v>21</v>
      </c>
      <c r="M33" s="45">
        <f t="shared" si="3"/>
        <v>161.42567743196338</v>
      </c>
      <c r="N33" s="62">
        <f t="shared" si="2"/>
        <v>23.159643109116381</v>
      </c>
      <c r="P33" s="62" t="str">
        <f t="shared" si="6"/>
        <v/>
      </c>
      <c r="Q33" s="62">
        <f t="shared" si="4"/>
        <v>1729.6819704011318</v>
      </c>
      <c r="R33" s="62">
        <f t="shared" si="7"/>
        <v>-9.1374485099543108</v>
      </c>
      <c r="S33" s="62">
        <f t="shared" si="8"/>
        <v>-232.97430482822574</v>
      </c>
      <c r="T33" t="s">
        <v>462</v>
      </c>
      <c r="U33">
        <v>177</v>
      </c>
      <c r="V33">
        <v>211</v>
      </c>
      <c r="W33">
        <v>259</v>
      </c>
      <c r="X33">
        <v>1.36697247706422</v>
      </c>
      <c r="Z33" s="22">
        <f t="shared" si="0"/>
        <v>25</v>
      </c>
      <c r="AA33">
        <f t="shared" si="1"/>
        <v>22.367675283029705</v>
      </c>
    </row>
    <row r="34" spans="12:27" x14ac:dyDescent="0.2">
      <c r="L34">
        <f t="shared" si="5"/>
        <v>22</v>
      </c>
      <c r="M34" s="45">
        <f t="shared" si="3"/>
        <v>159.99450408941482</v>
      </c>
      <c r="N34" s="62">
        <f t="shared" si="2"/>
        <v>22.954313545889512</v>
      </c>
      <c r="P34" s="62" t="str">
        <f t="shared" si="6"/>
        <v/>
      </c>
      <c r="Q34" s="62">
        <f t="shared" si="4"/>
        <v>1720.7657604770543</v>
      </c>
      <c r="R34" s="62">
        <f t="shared" si="7"/>
        <v>-8.9162099240775206</v>
      </c>
      <c r="S34" s="62">
        <f t="shared" si="8"/>
        <v>-241.89051475230326</v>
      </c>
      <c r="T34" t="s">
        <v>463</v>
      </c>
      <c r="U34">
        <v>708</v>
      </c>
      <c r="V34">
        <v>844</v>
      </c>
      <c r="W34">
        <v>1035</v>
      </c>
      <c r="X34">
        <v>5.45045871559633</v>
      </c>
      <c r="Z34" s="22">
        <f t="shared" si="0"/>
        <v>26</v>
      </c>
      <c r="AA34">
        <f t="shared" si="1"/>
        <v>22.181521077312365</v>
      </c>
    </row>
    <row r="35" spans="12:27" x14ac:dyDescent="0.2">
      <c r="L35">
        <f t="shared" si="5"/>
        <v>23</v>
      </c>
      <c r="M35" s="45">
        <f t="shared" si="3"/>
        <v>158.59798273599705</v>
      </c>
      <c r="N35" s="62">
        <f t="shared" si="2"/>
        <v>22.75395548232774</v>
      </c>
      <c r="P35" s="62" t="str">
        <f t="shared" si="6"/>
        <v/>
      </c>
      <c r="Q35" s="62">
        <f t="shared" si="4"/>
        <v>1712.0654324452616</v>
      </c>
      <c r="R35" s="62">
        <f t="shared" si="7"/>
        <v>-8.700328031792651</v>
      </c>
      <c r="S35" s="62">
        <f t="shared" si="8"/>
        <v>-250.59084278409591</v>
      </c>
      <c r="T35" t="s">
        <v>464</v>
      </c>
      <c r="U35">
        <v>354</v>
      </c>
      <c r="V35">
        <v>422</v>
      </c>
      <c r="W35">
        <v>518</v>
      </c>
      <c r="X35">
        <v>2.73394495412844</v>
      </c>
      <c r="Z35" s="22">
        <f t="shared" si="0"/>
        <v>27</v>
      </c>
      <c r="AA35">
        <f t="shared" si="1"/>
        <v>21.999874091874631</v>
      </c>
    </row>
    <row r="36" spans="12:27" x14ac:dyDescent="0.2">
      <c r="L36">
        <f t="shared" si="5"/>
        <v>24</v>
      </c>
      <c r="M36" s="45">
        <f t="shared" si="3"/>
        <v>157.23527436757615</v>
      </c>
      <c r="N36" s="62">
        <f t="shared" si="2"/>
        <v>22.558448547021641</v>
      </c>
      <c r="P36" s="62" t="str">
        <f t="shared" si="6"/>
        <v/>
      </c>
      <c r="Q36" s="62">
        <f t="shared" si="4"/>
        <v>1703.5757593099995</v>
      </c>
      <c r="R36" s="62">
        <f t="shared" si="7"/>
        <v>-8.4896731352621373</v>
      </c>
      <c r="S36" s="62">
        <f t="shared" si="8"/>
        <v>-259.08051591935805</v>
      </c>
      <c r="T36" t="s">
        <v>465</v>
      </c>
      <c r="U36">
        <v>531</v>
      </c>
      <c r="V36">
        <v>633</v>
      </c>
      <c r="W36">
        <v>776</v>
      </c>
      <c r="X36">
        <v>4.0834862385321102</v>
      </c>
      <c r="Z36" s="22">
        <f t="shared" si="0"/>
        <v>28</v>
      </c>
      <c r="AA36">
        <f t="shared" si="1"/>
        <v>21.822625196575871</v>
      </c>
    </row>
    <row r="37" spans="12:27" x14ac:dyDescent="0.2">
      <c r="L37">
        <f t="shared" si="5"/>
        <v>25</v>
      </c>
      <c r="M37" s="45">
        <f t="shared" si="3"/>
        <v>155.90556029423263</v>
      </c>
      <c r="N37" s="62">
        <f t="shared" si="2"/>
        <v>22.367675283029705</v>
      </c>
      <c r="P37" s="62" t="str">
        <f t="shared" si="6"/>
        <v/>
      </c>
      <c r="Q37" s="62">
        <f t="shared" si="4"/>
        <v>1695.2916406330694</v>
      </c>
      <c r="R37" s="62">
        <f t="shared" si="7"/>
        <v>-8.2841186769301203</v>
      </c>
      <c r="S37" s="62">
        <f t="shared" si="8"/>
        <v>-267.36463459628817</v>
      </c>
      <c r="T37" t="s">
        <v>466</v>
      </c>
      <c r="U37">
        <v>413</v>
      </c>
      <c r="V37">
        <v>493</v>
      </c>
      <c r="W37">
        <v>604</v>
      </c>
      <c r="X37">
        <v>3.1825688073394498</v>
      </c>
      <c r="Z37" s="22">
        <f t="shared" si="0"/>
        <v>29</v>
      </c>
      <c r="AA37">
        <f t="shared" si="1"/>
        <v>21.649667903566456</v>
      </c>
    </row>
    <row r="38" spans="12:27" x14ac:dyDescent="0.2">
      <c r="L38">
        <f t="shared" si="5"/>
        <v>26</v>
      </c>
      <c r="M38" s="45">
        <f t="shared" si="3"/>
        <v>154.60804164840766</v>
      </c>
      <c r="N38" s="62">
        <f t="shared" si="2"/>
        <v>22.181521077312365</v>
      </c>
      <c r="P38" s="62" t="str">
        <f t="shared" si="6"/>
        <v/>
      </c>
      <c r="Q38" s="62">
        <f t="shared" si="4"/>
        <v>1687.2080994695798</v>
      </c>
      <c r="R38" s="62">
        <f t="shared" si="7"/>
        <v>-8.0835411634895991</v>
      </c>
      <c r="S38" s="62">
        <f t="shared" si="8"/>
        <v>-275.44817575977777</v>
      </c>
      <c r="T38" t="s">
        <v>467</v>
      </c>
      <c r="U38">
        <v>472</v>
      </c>
      <c r="V38">
        <v>563</v>
      </c>
      <c r="W38">
        <v>690</v>
      </c>
      <c r="X38">
        <v>3.6330275229357798</v>
      </c>
      <c r="Z38" s="22">
        <f t="shared" si="0"/>
        <v>30</v>
      </c>
      <c r="AA38">
        <f t="shared" si="1"/>
        <v>21.480898303311843</v>
      </c>
    </row>
    <row r="39" spans="12:27" x14ac:dyDescent="0.2">
      <c r="L39">
        <f t="shared" si="5"/>
        <v>27</v>
      </c>
      <c r="M39" s="45">
        <f t="shared" si="3"/>
        <v>153.34193890495831</v>
      </c>
      <c r="N39" s="62">
        <f t="shared" si="2"/>
        <v>21.999874091874631</v>
      </c>
      <c r="P39" s="62" t="str">
        <f t="shared" si="6"/>
        <v/>
      </c>
      <c r="Q39" s="62">
        <f t="shared" si="4"/>
        <v>1679.3202793778903</v>
      </c>
      <c r="R39" s="62">
        <f t="shared" si="7"/>
        <v>-7.8878200916894912</v>
      </c>
      <c r="S39" s="62">
        <f t="shared" si="8"/>
        <v>-283.33599585146726</v>
      </c>
      <c r="T39" t="s">
        <v>468</v>
      </c>
      <c r="U39">
        <v>266</v>
      </c>
      <c r="V39">
        <v>317</v>
      </c>
      <c r="W39">
        <v>388</v>
      </c>
      <c r="X39">
        <v>2.0330275229357802</v>
      </c>
      <c r="Z39" s="22">
        <f t="shared" si="0"/>
        <v>31</v>
      </c>
      <c r="AA39">
        <f t="shared" si="1"/>
        <v>21.316215002165631</v>
      </c>
    </row>
    <row r="40" spans="12:27" x14ac:dyDescent="0.2">
      <c r="L40">
        <f t="shared" si="5"/>
        <v>28</v>
      </c>
      <c r="M40" s="45">
        <f t="shared" si="3"/>
        <v>152.10649141283324</v>
      </c>
      <c r="N40" s="62">
        <f t="shared" si="2"/>
        <v>21.822625196575871</v>
      </c>
      <c r="P40" s="62" t="str">
        <f t="shared" si="6"/>
        <v/>
      </c>
      <c r="Q40" s="62">
        <f t="shared" si="4"/>
        <v>1671.6234415019512</v>
      </c>
      <c r="R40" s="62">
        <f t="shared" si="7"/>
        <v>-7.6968378759390816</v>
      </c>
      <c r="S40" s="62">
        <f t="shared" si="8"/>
        <v>-291.03283372740634</v>
      </c>
      <c r="T40" t="s">
        <v>469</v>
      </c>
      <c r="U40">
        <v>236</v>
      </c>
      <c r="V40">
        <v>281</v>
      </c>
      <c r="W40">
        <v>345</v>
      </c>
      <c r="X40">
        <v>1.81743119266055</v>
      </c>
      <c r="Z40" s="22">
        <f t="shared" si="0"/>
        <v>32</v>
      </c>
      <c r="AA40">
        <f t="shared" si="1"/>
        <v>21.155519061454161</v>
      </c>
    </row>
    <row r="41" spans="12:27" x14ac:dyDescent="0.2">
      <c r="L41">
        <f t="shared" si="5"/>
        <v>29</v>
      </c>
      <c r="M41" s="45">
        <f t="shared" si="3"/>
        <v>150.90095693808769</v>
      </c>
      <c r="N41" s="62">
        <f t="shared" si="2"/>
        <v>21.649667903566456</v>
      </c>
      <c r="P41" s="62" t="str">
        <f t="shared" si="6"/>
        <v/>
      </c>
      <c r="Q41" s="62">
        <f t="shared" si="4"/>
        <v>1664.1129617242864</v>
      </c>
      <c r="R41" s="62">
        <f t="shared" si="7"/>
        <v>-7.5104797776648411</v>
      </c>
      <c r="S41" s="62">
        <f t="shared" si="8"/>
        <v>-298.54331350507118</v>
      </c>
      <c r="T41" t="s">
        <v>470</v>
      </c>
      <c r="U41">
        <v>708</v>
      </c>
      <c r="V41">
        <v>844</v>
      </c>
      <c r="W41">
        <v>1035</v>
      </c>
      <c r="X41">
        <v>5.45045871559633</v>
      </c>
      <c r="Z41" s="22">
        <f t="shared" si="0"/>
        <v>33</v>
      </c>
      <c r="AA41">
        <f t="shared" si="1"/>
        <v>20.998713938035991</v>
      </c>
    </row>
    <row r="42" spans="12:27" x14ac:dyDescent="0.2">
      <c r="L42">
        <f t="shared" si="5"/>
        <v>30</v>
      </c>
      <c r="M42" s="45">
        <f t="shared" si="3"/>
        <v>149.72461121796306</v>
      </c>
      <c r="N42" s="62">
        <f t="shared" si="2"/>
        <v>21.480898303311843</v>
      </c>
      <c r="P42" s="62" t="str">
        <f t="shared" si="6"/>
        <v/>
      </c>
      <c r="Q42" s="62">
        <f t="shared" si="4"/>
        <v>1656.78432788791</v>
      </c>
      <c r="R42" s="62">
        <f t="shared" si="7"/>
        <v>-7.3286338363764116</v>
      </c>
      <c r="S42" s="62">
        <f t="shared" si="8"/>
        <v>-305.87194734144759</v>
      </c>
      <c r="T42" t="s">
        <v>471</v>
      </c>
      <c r="U42">
        <v>708</v>
      </c>
      <c r="V42">
        <v>844</v>
      </c>
      <c r="W42">
        <v>1035</v>
      </c>
      <c r="X42">
        <v>5.45045871559633</v>
      </c>
      <c r="Z42" s="22">
        <f t="shared" si="0"/>
        <v>34</v>
      </c>
      <c r="AA42">
        <f t="shared" si="1"/>
        <v>20.845705426300551</v>
      </c>
    </row>
    <row r="43" spans="12:27" x14ac:dyDescent="0.2">
      <c r="L43">
        <f t="shared" si="5"/>
        <v>31</v>
      </c>
      <c r="M43" s="45">
        <f t="shared" si="3"/>
        <v>148.5767475257633</v>
      </c>
      <c r="N43" s="62">
        <f t="shared" si="2"/>
        <v>21.316215002165631</v>
      </c>
      <c r="P43" s="62" t="str">
        <f t="shared" si="6"/>
        <v/>
      </c>
      <c r="Q43" s="62">
        <f t="shared" si="4"/>
        <v>1649.6331370855055</v>
      </c>
      <c r="R43" s="62">
        <f t="shared" si="7"/>
        <v>-7.1511908024044715</v>
      </c>
      <c r="S43" s="62">
        <f t="shared" si="8"/>
        <v>-313.02313814385207</v>
      </c>
      <c r="T43" t="s">
        <v>472</v>
      </c>
      <c r="U43">
        <v>177</v>
      </c>
      <c r="V43">
        <v>211</v>
      </c>
      <c r="W43">
        <v>259</v>
      </c>
      <c r="X43">
        <v>1.36697247706422</v>
      </c>
      <c r="Z43" s="22">
        <f t="shared" si="0"/>
        <v>35</v>
      </c>
      <c r="AA43">
        <f t="shared" si="1"/>
        <v>20.696401601571182</v>
      </c>
    </row>
    <row r="44" spans="12:27" x14ac:dyDescent="0.2">
      <c r="L44">
        <f t="shared" si="5"/>
        <v>32</v>
      </c>
      <c r="M44" s="45">
        <f t="shared" si="3"/>
        <v>147.45667624626657</v>
      </c>
      <c r="N44" s="62">
        <f t="shared" si="2"/>
        <v>21.155519061454161</v>
      </c>
      <c r="P44" s="62" t="str">
        <f t="shared" si="6"/>
        <v/>
      </c>
      <c r="Q44" s="62">
        <f t="shared" si="4"/>
        <v>1642.6550930142407</v>
      </c>
      <c r="R44" s="62">
        <f t="shared" si="7"/>
        <v>-6.978044071264776</v>
      </c>
      <c r="S44" s="62">
        <f t="shared" si="8"/>
        <v>-320.00118221511684</v>
      </c>
      <c r="T44" t="s">
        <v>473</v>
      </c>
      <c r="U44">
        <v>413</v>
      </c>
      <c r="V44">
        <v>493</v>
      </c>
      <c r="W44">
        <v>604</v>
      </c>
      <c r="X44">
        <v>3.1825688073394498</v>
      </c>
      <c r="Z44" s="22">
        <f t="shared" si="0"/>
        <v>36</v>
      </c>
      <c r="AA44">
        <f t="shared" si="1"/>
        <v>20.550712764878472</v>
      </c>
    </row>
    <row r="45" spans="12:27" x14ac:dyDescent="0.2">
      <c r="L45">
        <f t="shared" si="5"/>
        <v>33</v>
      </c>
      <c r="M45" s="45">
        <f t="shared" si="3"/>
        <v>146.36372446141729</v>
      </c>
      <c r="N45" s="62">
        <f t="shared" si="2"/>
        <v>20.998713938035991</v>
      </c>
      <c r="P45" s="62" t="str">
        <f t="shared" si="6"/>
        <v/>
      </c>
      <c r="Q45" s="62">
        <f t="shared" si="4"/>
        <v>1635.8460033946299</v>
      </c>
      <c r="R45" s="62">
        <f t="shared" si="7"/>
        <v>-6.8090896196108588</v>
      </c>
      <c r="S45" s="62">
        <f t="shared" si="8"/>
        <v>-326.8102718347277</v>
      </c>
      <c r="T45" t="s">
        <v>474</v>
      </c>
      <c r="U45">
        <v>207</v>
      </c>
      <c r="V45">
        <v>246</v>
      </c>
      <c r="W45">
        <v>302</v>
      </c>
      <c r="X45">
        <v>1.5844036697247701</v>
      </c>
      <c r="Z45" s="22">
        <f t="shared" si="0"/>
        <v>37</v>
      </c>
      <c r="AA45">
        <f t="shared" si="1"/>
        <v>20.408551389070798</v>
      </c>
    </row>
    <row r="46" spans="12:27" x14ac:dyDescent="0.2">
      <c r="L46">
        <f t="shared" si="5"/>
        <v>34</v>
      </c>
      <c r="M46" s="45">
        <f t="shared" si="3"/>
        <v>145.29723554604936</v>
      </c>
      <c r="N46" s="62">
        <f t="shared" si="2"/>
        <v>20.845705426300551</v>
      </c>
      <c r="P46" s="62" t="str">
        <f t="shared" si="6"/>
        <v/>
      </c>
      <c r="Q46" s="62">
        <f t="shared" si="4"/>
        <v>1629.2017774518877</v>
      </c>
      <c r="R46" s="62">
        <f t="shared" si="7"/>
        <v>-6.6442259427421959</v>
      </c>
      <c r="S46" s="62">
        <f t="shared" si="8"/>
        <v>-333.4544977774699</v>
      </c>
      <c r="T46" t="s">
        <v>475</v>
      </c>
      <c r="U46">
        <v>472</v>
      </c>
      <c r="V46">
        <v>563</v>
      </c>
      <c r="W46">
        <v>690</v>
      </c>
      <c r="X46">
        <v>3.6330275229357798</v>
      </c>
      <c r="Z46" s="22">
        <f t="shared" si="0"/>
        <v>38</v>
      </c>
      <c r="AA46">
        <f t="shared" si="1"/>
        <v>20.269832066229629</v>
      </c>
    </row>
    <row r="47" spans="12:27" x14ac:dyDescent="0.2">
      <c r="L47">
        <f t="shared" si="5"/>
        <v>35</v>
      </c>
      <c r="M47" s="45">
        <f t="shared" si="3"/>
        <v>144.25656877339799</v>
      </c>
      <c r="N47" s="62">
        <f t="shared" si="2"/>
        <v>20.696401601571182</v>
      </c>
      <c r="P47" s="62" t="str">
        <f t="shared" si="6"/>
        <v/>
      </c>
      <c r="Q47" s="62">
        <f t="shared" si="4"/>
        <v>1622.7184234582696</v>
      </c>
      <c r="R47" s="62">
        <f t="shared" si="7"/>
        <v>-6.4833539936180387</v>
      </c>
      <c r="S47" s="62">
        <f t="shared" si="8"/>
        <v>-339.93785177108794</v>
      </c>
      <c r="T47" t="s">
        <v>476</v>
      </c>
      <c r="U47">
        <v>472</v>
      </c>
      <c r="V47">
        <v>563</v>
      </c>
      <c r="W47">
        <v>690</v>
      </c>
      <c r="X47">
        <v>3.6330275229357798</v>
      </c>
      <c r="Z47" s="22">
        <f t="shared" si="0"/>
        <v>39</v>
      </c>
      <c r="AA47">
        <f t="shared" si="1"/>
        <v>20.134471456358035</v>
      </c>
    </row>
    <row r="48" spans="12:27" x14ac:dyDescent="0.2">
      <c r="L48">
        <f t="shared" si="5"/>
        <v>36</v>
      </c>
      <c r="M48" s="45">
        <f t="shared" si="3"/>
        <v>143.24109893016288</v>
      </c>
      <c r="N48" s="62">
        <f t="shared" si="2"/>
        <v>20.550712764878472</v>
      </c>
      <c r="P48" s="62" t="str">
        <f t="shared" si="6"/>
        <v/>
      </c>
      <c r="Q48" s="62">
        <f t="shared" si="4"/>
        <v>1616.3920463349148</v>
      </c>
      <c r="R48" s="62">
        <f t="shared" si="7"/>
        <v>-6.3263771233548596</v>
      </c>
      <c r="S48" s="62">
        <f t="shared" si="8"/>
        <v>-346.26422889444279</v>
      </c>
      <c r="T48" t="s">
        <v>477</v>
      </c>
      <c r="U48">
        <v>266</v>
      </c>
      <c r="V48">
        <v>317</v>
      </c>
      <c r="W48">
        <v>388</v>
      </c>
      <c r="X48">
        <v>2.0330275229357802</v>
      </c>
      <c r="Z48" s="22">
        <f t="shared" si="0"/>
        <v>40</v>
      </c>
      <c r="AA48">
        <f t="shared" si="1"/>
        <v>20.002388237311546</v>
      </c>
    </row>
    <row r="49" spans="12:27" x14ac:dyDescent="0.2">
      <c r="L49">
        <f t="shared" si="5"/>
        <v>37</v>
      </c>
      <c r="M49" s="45">
        <f t="shared" si="3"/>
        <v>142.25021594089176</v>
      </c>
      <c r="N49" s="62">
        <f t="shared" si="2"/>
        <v>20.408551389070798</v>
      </c>
      <c r="P49" s="62" t="str">
        <f t="shared" si="6"/>
        <v/>
      </c>
      <c r="Q49" s="62">
        <f t="shared" si="4"/>
        <v>1610.2188453117558</v>
      </c>
      <c r="R49" s="62">
        <f t="shared" si="7"/>
        <v>-6.1732010231589811</v>
      </c>
      <c r="S49" s="62">
        <f t="shared" si="8"/>
        <v>-352.43742991760178</v>
      </c>
      <c r="T49" t="s">
        <v>478</v>
      </c>
      <c r="U49">
        <v>207</v>
      </c>
      <c r="V49">
        <v>246</v>
      </c>
      <c r="W49">
        <v>302</v>
      </c>
      <c r="X49">
        <v>1.5844036697247701</v>
      </c>
      <c r="Z49" s="22">
        <f t="shared" si="0"/>
        <v>41</v>
      </c>
      <c r="AA49">
        <f t="shared" si="1"/>
        <v>19.873503055941335</v>
      </c>
    </row>
    <row r="50" spans="12:27" x14ac:dyDescent="0.2">
      <c r="L50">
        <f t="shared" si="5"/>
        <v>38</v>
      </c>
      <c r="M50" s="45">
        <f t="shared" si="3"/>
        <v>141.28332450145831</v>
      </c>
      <c r="N50" s="62">
        <f t="shared" si="2"/>
        <v>20.269832066229629</v>
      </c>
      <c r="P50" s="62" t="str">
        <f t="shared" si="6"/>
        <v/>
      </c>
      <c r="Q50" s="62">
        <f t="shared" si="4"/>
        <v>1604.1951116440855</v>
      </c>
      <c r="R50" s="62">
        <f t="shared" si="7"/>
        <v>-6.0237336676702853</v>
      </c>
      <c r="S50" s="62">
        <f t="shared" si="8"/>
        <v>-358.46116358527206</v>
      </c>
      <c r="T50" t="s">
        <v>479</v>
      </c>
      <c r="U50">
        <v>148</v>
      </c>
      <c r="V50">
        <v>176</v>
      </c>
      <c r="W50">
        <v>216</v>
      </c>
      <c r="X50">
        <v>1.1339449541284401</v>
      </c>
      <c r="Z50" s="22">
        <f t="shared" si="0"/>
        <v>42</v>
      </c>
      <c r="AA50">
        <f t="shared" si="1"/>
        <v>19.747738480420306</v>
      </c>
    </row>
    <row r="51" spans="12:27" x14ac:dyDescent="0.2">
      <c r="L51">
        <f t="shared" si="5"/>
        <v>39</v>
      </c>
      <c r="M51" s="45">
        <f t="shared" si="3"/>
        <v>140.33984372141447</v>
      </c>
      <c r="N51" s="62">
        <f t="shared" si="2"/>
        <v>20.134471456358035</v>
      </c>
      <c r="P51" s="62" t="str">
        <f t="shared" si="6"/>
        <v/>
      </c>
      <c r="Q51" s="62">
        <f t="shared" si="4"/>
        <v>1598.3172263844122</v>
      </c>
      <c r="R51" s="62">
        <f t="shared" si="7"/>
        <v>-5.8778852596733486</v>
      </c>
      <c r="S51" s="62">
        <f t="shared" si="8"/>
        <v>-364.33904884494541</v>
      </c>
      <c r="T51" t="s">
        <v>480</v>
      </c>
      <c r="U51">
        <v>236</v>
      </c>
      <c r="V51">
        <v>281</v>
      </c>
      <c r="W51">
        <v>345</v>
      </c>
      <c r="X51">
        <v>1.81743119266055</v>
      </c>
      <c r="Z51" s="22">
        <f t="shared" si="0"/>
        <v>43</v>
      </c>
      <c r="AA51">
        <f t="shared" si="1"/>
        <v>19.625018953723508</v>
      </c>
    </row>
    <row r="52" spans="12:27" x14ac:dyDescent="0.2">
      <c r="L52">
        <f t="shared" si="5"/>
        <v>40</v>
      </c>
      <c r="M52" s="45">
        <f t="shared" si="3"/>
        <v>139.41920677500224</v>
      </c>
      <c r="N52" s="62">
        <f t="shared" si="2"/>
        <v>20.002388237311546</v>
      </c>
      <c r="P52" s="62" t="str">
        <f t="shared" si="6"/>
        <v/>
      </c>
      <c r="Q52" s="62">
        <f t="shared" si="4"/>
        <v>1592.5816582082639</v>
      </c>
      <c r="R52" s="62">
        <f t="shared" si="7"/>
        <v>-5.7355681761482629</v>
      </c>
      <c r="S52" s="62">
        <f t="shared" si="8"/>
        <v>-370.07461702109367</v>
      </c>
      <c r="T52" t="s">
        <v>481</v>
      </c>
      <c r="U52">
        <v>354</v>
      </c>
      <c r="V52">
        <v>422</v>
      </c>
      <c r="W52">
        <v>518</v>
      </c>
      <c r="X52">
        <v>2.73394495412844</v>
      </c>
      <c r="Z52" s="22">
        <f t="shared" si="0"/>
        <v>44</v>
      </c>
      <c r="AA52">
        <f t="shared" si="1"/>
        <v>19.505270748234842</v>
      </c>
    </row>
    <row r="53" spans="12:27" x14ac:dyDescent="0.2">
      <c r="L53">
        <f t="shared" si="5"/>
        <v>41</v>
      </c>
      <c r="M53" s="45">
        <f t="shared" si="3"/>
        <v>138.52086056061526</v>
      </c>
      <c r="N53" s="62">
        <f t="shared" si="2"/>
        <v>19.873503055941335</v>
      </c>
      <c r="P53" s="62" t="str">
        <f t="shared" si="6"/>
        <v/>
      </c>
      <c r="Q53" s="62">
        <f t="shared" si="4"/>
        <v>1586.9849612926332</v>
      </c>
      <c r="R53" s="62">
        <f t="shared" si="7"/>
        <v>-5.5966969156306732</v>
      </c>
      <c r="S53" s="62">
        <f t="shared" si="8"/>
        <v>-375.67131393672435</v>
      </c>
      <c r="T53" t="s">
        <v>482</v>
      </c>
      <c r="U53">
        <v>325</v>
      </c>
      <c r="V53">
        <v>387</v>
      </c>
      <c r="W53">
        <v>474</v>
      </c>
      <c r="X53">
        <v>2.4834862385321101</v>
      </c>
      <c r="Z53" s="22">
        <f t="shared" si="0"/>
        <v>45</v>
      </c>
      <c r="AA53">
        <f t="shared" si="1"/>
        <v>19.38842192145291</v>
      </c>
    </row>
    <row r="54" spans="12:27" x14ac:dyDescent="0.2">
      <c r="L54">
        <f t="shared" si="5"/>
        <v>42</v>
      </c>
      <c r="M54" s="45">
        <f t="shared" si="3"/>
        <v>137.6442653685057</v>
      </c>
      <c r="N54" s="62">
        <f t="shared" si="2"/>
        <v>19.747738480420306</v>
      </c>
      <c r="P54" s="62" t="str">
        <f t="shared" si="6"/>
        <v/>
      </c>
      <c r="Q54" s="62">
        <f t="shared" si="4"/>
        <v>1581.5237732457906</v>
      </c>
      <c r="R54" s="62">
        <f t="shared" si="7"/>
        <v>-5.4611880468426079</v>
      </c>
      <c r="S54" s="62">
        <f t="shared" si="8"/>
        <v>-381.13250198356695</v>
      </c>
      <c r="T54" t="s">
        <v>483</v>
      </c>
      <c r="U54">
        <v>177</v>
      </c>
      <c r="V54">
        <v>211</v>
      </c>
      <c r="W54">
        <v>259</v>
      </c>
      <c r="X54">
        <v>1.36697247706422</v>
      </c>
      <c r="Z54" s="22">
        <f t="shared" si="0"/>
        <v>46</v>
      </c>
      <c r="AA54">
        <f t="shared" si="1"/>
        <v>19.274402272769258</v>
      </c>
    </row>
    <row r="55" spans="12:27" x14ac:dyDescent="0.2">
      <c r="L55">
        <f t="shared" si="5"/>
        <v>43</v>
      </c>
      <c r="M55" s="45">
        <f t="shared" si="3"/>
        <v>136.78889455653655</v>
      </c>
      <c r="N55" s="62">
        <f t="shared" si="2"/>
        <v>19.625018953723508</v>
      </c>
      <c r="P55" s="62" t="str">
        <f t="shared" si="6"/>
        <v/>
      </c>
      <c r="Q55" s="62">
        <f t="shared" si="4"/>
        <v>1576.1948130872229</v>
      </c>
      <c r="R55" s="62">
        <f t="shared" si="7"/>
        <v>-5.3289601585677246</v>
      </c>
      <c r="S55" s="62">
        <f t="shared" si="8"/>
        <v>-386.46146214213468</v>
      </c>
      <c r="T55" t="s">
        <v>484</v>
      </c>
      <c r="U55">
        <v>266</v>
      </c>
      <c r="V55">
        <v>317</v>
      </c>
      <c r="W55">
        <v>388</v>
      </c>
      <c r="X55">
        <v>2.0330275229357802</v>
      </c>
      <c r="Z55" s="22">
        <f t="shared" si="0"/>
        <v>47</v>
      </c>
      <c r="AA55">
        <f t="shared" si="1"/>
        <v>19.163143301293189</v>
      </c>
    </row>
    <row r="56" spans="12:27" x14ac:dyDescent="0.2">
      <c r="L56">
        <f t="shared" si="5"/>
        <v>44</v>
      </c>
      <c r="M56" s="45">
        <f t="shared" si="3"/>
        <v>135.95423423378483</v>
      </c>
      <c r="N56" s="62">
        <f t="shared" si="2"/>
        <v>19.505270748234842</v>
      </c>
      <c r="P56" s="62" t="str">
        <f t="shared" si="6"/>
        <v/>
      </c>
      <c r="Q56" s="62">
        <f t="shared" si="4"/>
        <v>1570.9948792764794</v>
      </c>
      <c r="R56" s="62">
        <f t="shared" si="7"/>
        <v>-5.1999338107434596</v>
      </c>
      <c r="S56" s="62">
        <f t="shared" si="8"/>
        <v>-391.66139595287814</v>
      </c>
      <c r="T56" t="s">
        <v>485</v>
      </c>
      <c r="U56">
        <v>148</v>
      </c>
      <c r="V56">
        <v>176</v>
      </c>
      <c r="W56">
        <v>216</v>
      </c>
      <c r="X56">
        <v>1.1339449541284401</v>
      </c>
      <c r="Z56" s="22">
        <f t="shared" si="0"/>
        <v>48</v>
      </c>
      <c r="AA56">
        <f t="shared" si="1"/>
        <v>19.054578164697691</v>
      </c>
    </row>
    <row r="57" spans="12:27" x14ac:dyDescent="0.2">
      <c r="L57">
        <f>L56+1</f>
        <v>45</v>
      </c>
      <c r="M57" s="45">
        <f t="shared" si="3"/>
        <v>135.13978295180547</v>
      </c>
      <c r="N57" s="62">
        <f t="shared" si="2"/>
        <v>19.38842192145291</v>
      </c>
      <c r="P57" s="62" t="str">
        <f t="shared" si="6"/>
        <v/>
      </c>
      <c r="Q57" s="62">
        <f t="shared" si="4"/>
        <v>1565.9208477897482</v>
      </c>
      <c r="R57" s="62">
        <f t="shared" si="7"/>
        <v>-5.0740314867312009</v>
      </c>
      <c r="S57" s="62">
        <f t="shared" si="8"/>
        <v>-396.73542743960934</v>
      </c>
      <c r="T57" t="s">
        <v>486</v>
      </c>
      <c r="U57">
        <v>177</v>
      </c>
      <c r="V57">
        <v>211</v>
      </c>
      <c r="W57">
        <v>259</v>
      </c>
      <c r="X57">
        <v>1.36697247706422</v>
      </c>
      <c r="Z57" s="22">
        <f t="shared" si="0"/>
        <v>49</v>
      </c>
      <c r="AA57">
        <f t="shared" si="1"/>
        <v>18.948641639061773</v>
      </c>
    </row>
    <row r="58" spans="12:27" x14ac:dyDescent="0.2">
      <c r="L58">
        <f t="shared" si="5"/>
        <v>46</v>
      </c>
      <c r="M58" s="45">
        <f t="shared" si="3"/>
        <v>134.34505140337035</v>
      </c>
      <c r="N58" s="62">
        <f t="shared" si="2"/>
        <v>19.274402272769258</v>
      </c>
      <c r="P58" s="62" t="str">
        <f t="shared" si="6"/>
        <v/>
      </c>
      <c r="Q58" s="62">
        <f t="shared" si="4"/>
        <v>1560.9696702429974</v>
      </c>
      <c r="R58" s="62">
        <f t="shared" si="7"/>
        <v>-4.9511775467508414</v>
      </c>
      <c r="S58" s="62">
        <f t="shared" si="8"/>
        <v>-401.68660498636018</v>
      </c>
      <c r="T58" t="s">
        <v>487</v>
      </c>
      <c r="U58">
        <v>354</v>
      </c>
      <c r="V58">
        <v>422</v>
      </c>
      <c r="W58">
        <v>518</v>
      </c>
      <c r="X58">
        <v>2.73394495412844</v>
      </c>
      <c r="Z58" s="22">
        <f t="shared" si="0"/>
        <v>50</v>
      </c>
      <c r="AA58">
        <f t="shared" si="1"/>
        <v>18.845270079685182</v>
      </c>
    </row>
    <row r="59" spans="12:27" x14ac:dyDescent="0.2">
      <c r="L59">
        <f t="shared" si="5"/>
        <v>47</v>
      </c>
      <c r="M59" s="45">
        <f t="shared" si="3"/>
        <v>133.56956212850162</v>
      </c>
      <c r="N59" s="62">
        <f t="shared" si="2"/>
        <v>19.163143301293189</v>
      </c>
      <c r="P59" s="62" t="str">
        <f t="shared" si="6"/>
        <v/>
      </c>
      <c r="Q59" s="62">
        <f t="shared" si="4"/>
        <v>1556.138372060565</v>
      </c>
      <c r="R59" s="62">
        <f t="shared" si="7"/>
        <v>-4.8312981824324197</v>
      </c>
      <c r="S59" s="62">
        <f t="shared" si="8"/>
        <v>-406.5179031687926</v>
      </c>
      <c r="T59" t="s">
        <v>488</v>
      </c>
      <c r="U59">
        <v>148</v>
      </c>
      <c r="V59">
        <v>176</v>
      </c>
      <c r="W59">
        <v>216</v>
      </c>
      <c r="X59">
        <v>1.1339449541284401</v>
      </c>
      <c r="Z59" s="22">
        <f t="shared" si="0"/>
        <v>51</v>
      </c>
      <c r="AA59">
        <f t="shared" si="1"/>
        <v>18.744401382851834</v>
      </c>
    </row>
    <row r="60" spans="12:27" x14ac:dyDescent="0.2">
      <c r="L60">
        <f t="shared" si="5"/>
        <v>48</v>
      </c>
      <c r="M60" s="45">
        <f t="shared" si="3"/>
        <v>132.81284922762259</v>
      </c>
      <c r="N60" s="62">
        <f t="shared" si="2"/>
        <v>19.054578164697691</v>
      </c>
      <c r="P60" s="62" t="str">
        <f t="shared" si="6"/>
        <v/>
      </c>
      <c r="Q60" s="62">
        <f t="shared" si="4"/>
        <v>1551.4240506880888</v>
      </c>
      <c r="R60" s="62">
        <f t="shared" si="7"/>
        <v>-4.7143213724762063</v>
      </c>
      <c r="S60" s="62">
        <f t="shared" si="8"/>
        <v>-411.23222454126881</v>
      </c>
      <c r="T60" t="s">
        <v>489</v>
      </c>
      <c r="U60">
        <v>531</v>
      </c>
      <c r="V60">
        <v>633</v>
      </c>
      <c r="W60">
        <v>776</v>
      </c>
      <c r="X60">
        <v>4.0834862385321102</v>
      </c>
      <c r="Z60" s="22">
        <f t="shared" si="0"/>
        <v>52</v>
      </c>
      <c r="AA60">
        <f t="shared" si="1"/>
        <v>18.645974948519047</v>
      </c>
    </row>
    <row r="61" spans="12:27" x14ac:dyDescent="0.2">
      <c r="L61">
        <f t="shared" si="5"/>
        <v>49</v>
      </c>
      <c r="M61" s="45">
        <f t="shared" si="3"/>
        <v>132.07445808165389</v>
      </c>
      <c r="N61" s="62">
        <f t="shared" si="2"/>
        <v>18.948641639061773</v>
      </c>
      <c r="P61" s="62" t="str">
        <f t="shared" si="6"/>
        <v/>
      </c>
      <c r="Q61" s="62">
        <f t="shared" si="4"/>
        <v>1546.8238738487039</v>
      </c>
      <c r="R61" s="62">
        <f t="shared" si="7"/>
        <v>-4.6001768393848579</v>
      </c>
      <c r="S61" s="62">
        <f t="shared" si="8"/>
        <v>-415.83240138065366</v>
      </c>
      <c r="T61" t="s">
        <v>490</v>
      </c>
      <c r="U61">
        <v>472</v>
      </c>
      <c r="V61">
        <v>563</v>
      </c>
      <c r="W61">
        <v>690</v>
      </c>
      <c r="X61">
        <v>3.6330275229357798</v>
      </c>
    </row>
    <row r="62" spans="12:27" x14ac:dyDescent="0.2">
      <c r="L62">
        <f t="shared" si="5"/>
        <v>50</v>
      </c>
      <c r="M62" s="45">
        <f t="shared" si="3"/>
        <v>131.35394507888677</v>
      </c>
      <c r="N62" s="62">
        <f t="shared" si="2"/>
        <v>18.845270079685182</v>
      </c>
      <c r="P62" s="62" t="str">
        <f t="shared" si="6"/>
        <v/>
      </c>
      <c r="Q62" s="62">
        <f t="shared" si="4"/>
        <v>1542.3350778414647</v>
      </c>
      <c r="R62" s="62">
        <f t="shared" si="7"/>
        <v>-4.4887960072392161</v>
      </c>
      <c r="S62" s="62">
        <f t="shared" si="8"/>
        <v>-420.32119738789288</v>
      </c>
      <c r="T62" t="s">
        <v>491</v>
      </c>
      <c r="U62">
        <v>177</v>
      </c>
      <c r="V62">
        <v>211</v>
      </c>
      <c r="W62">
        <v>259</v>
      </c>
      <c r="X62">
        <v>1.36697247706422</v>
      </c>
    </row>
    <row r="63" spans="12:27" x14ac:dyDescent="0.2">
      <c r="L63">
        <f t="shared" si="5"/>
        <v>51</v>
      </c>
      <c r="M63" s="45">
        <f t="shared" si="3"/>
        <v>130.65087734846941</v>
      </c>
      <c r="N63" s="62">
        <f t="shared" si="2"/>
        <v>18.744401382851834</v>
      </c>
      <c r="P63" s="62" t="str">
        <f t="shared" si="6"/>
        <v/>
      </c>
      <c r="Q63" s="62">
        <f t="shared" si="4"/>
        <v>1537.9549658809644</v>
      </c>
      <c r="R63" s="62">
        <f t="shared" si="7"/>
        <v>-4.3801119605002441</v>
      </c>
      <c r="S63" s="62">
        <f t="shared" si="8"/>
        <v>-424.70130934839312</v>
      </c>
      <c r="T63" t="s">
        <v>492</v>
      </c>
      <c r="U63">
        <v>207</v>
      </c>
      <c r="V63">
        <v>246</v>
      </c>
      <c r="W63">
        <v>302</v>
      </c>
      <c r="X63">
        <v>1.5844036697247701</v>
      </c>
    </row>
    <row r="64" spans="12:27" x14ac:dyDescent="0.2">
      <c r="L64">
        <f t="shared" si="5"/>
        <v>52</v>
      </c>
      <c r="M64" s="45">
        <f t="shared" si="3"/>
        <v>129.96483250034612</v>
      </c>
      <c r="N64" s="62">
        <f t="shared" si="2"/>
        <v>18.645974948519047</v>
      </c>
      <c r="P64" s="62" t="str">
        <f t="shared" si="6"/>
        <v/>
      </c>
      <c r="Q64" s="62">
        <f t="shared" si="4"/>
        <v>1533.6809064771564</v>
      </c>
      <c r="R64" s="62">
        <f t="shared" si="7"/>
        <v>-4.2740594038079962</v>
      </c>
      <c r="S64" s="62">
        <f t="shared" si="8"/>
        <v>-428.97536875220112</v>
      </c>
      <c r="T64" t="s">
        <v>493</v>
      </c>
      <c r="U64">
        <v>295</v>
      </c>
      <c r="V64">
        <v>352</v>
      </c>
      <c r="W64">
        <v>431</v>
      </c>
      <c r="X64">
        <v>2.26605504587156</v>
      </c>
    </row>
    <row r="65" spans="20:24" x14ac:dyDescent="0.2">
      <c r="T65" t="s">
        <v>494</v>
      </c>
      <c r="U65">
        <v>325</v>
      </c>
      <c r="V65">
        <v>387</v>
      </c>
      <c r="W65">
        <v>474</v>
      </c>
      <c r="X65">
        <v>2.4834862385321101</v>
      </c>
    </row>
    <row r="66" spans="20:24" x14ac:dyDescent="0.2">
      <c r="T66" t="s">
        <v>495</v>
      </c>
      <c r="U66">
        <v>236</v>
      </c>
      <c r="V66">
        <v>281</v>
      </c>
      <c r="W66">
        <v>345</v>
      </c>
      <c r="X66">
        <v>1.81743119266055</v>
      </c>
    </row>
    <row r="67" spans="20:24" x14ac:dyDescent="0.2">
      <c r="T67" t="s">
        <v>496</v>
      </c>
      <c r="U67">
        <v>177</v>
      </c>
      <c r="V67">
        <v>211</v>
      </c>
      <c r="W67">
        <v>259</v>
      </c>
      <c r="X67">
        <v>1.36697247706422</v>
      </c>
    </row>
    <row r="68" spans="20:24" x14ac:dyDescent="0.2">
      <c r="T68" t="s">
        <v>497</v>
      </c>
      <c r="U68">
        <v>295</v>
      </c>
      <c r="V68">
        <v>352</v>
      </c>
      <c r="W68">
        <v>431</v>
      </c>
      <c r="X68">
        <v>2.26605504587156</v>
      </c>
    </row>
    <row r="69" spans="20:24" x14ac:dyDescent="0.2">
      <c r="T69" t="s">
        <v>498</v>
      </c>
      <c r="U69">
        <v>207</v>
      </c>
      <c r="V69">
        <v>246</v>
      </c>
      <c r="W69">
        <v>302</v>
      </c>
      <c r="X69">
        <v>1.5844036697247701</v>
      </c>
    </row>
    <row r="70" spans="20:24" x14ac:dyDescent="0.2">
      <c r="T70" t="s">
        <v>499</v>
      </c>
      <c r="U70">
        <v>236</v>
      </c>
      <c r="V70">
        <v>281</v>
      </c>
      <c r="W70">
        <v>345</v>
      </c>
      <c r="X70">
        <v>1.81743119266055</v>
      </c>
    </row>
    <row r="71" spans="20:24" x14ac:dyDescent="0.2">
      <c r="T71" t="s">
        <v>500</v>
      </c>
      <c r="U71">
        <v>325</v>
      </c>
      <c r="V71">
        <v>387</v>
      </c>
      <c r="W71">
        <v>474</v>
      </c>
      <c r="X71">
        <v>2.4834862385321101</v>
      </c>
    </row>
    <row r="72" spans="20:24" x14ac:dyDescent="0.2">
      <c r="T72" t="s">
        <v>501</v>
      </c>
      <c r="U72">
        <v>354</v>
      </c>
      <c r="V72">
        <v>422</v>
      </c>
      <c r="W72">
        <v>518</v>
      </c>
      <c r="X72">
        <v>2.73394495412844</v>
      </c>
    </row>
    <row r="73" spans="20:24" x14ac:dyDescent="0.2">
      <c r="T73" t="s">
        <v>502</v>
      </c>
      <c r="U73">
        <v>472</v>
      </c>
      <c r="V73">
        <v>563</v>
      </c>
      <c r="W73">
        <v>690</v>
      </c>
      <c r="X73">
        <v>3.6330275229357798</v>
      </c>
    </row>
    <row r="74" spans="20:24" x14ac:dyDescent="0.2">
      <c r="T74" t="s">
        <v>503</v>
      </c>
      <c r="U74">
        <v>472</v>
      </c>
      <c r="V74">
        <v>563</v>
      </c>
      <c r="W74">
        <v>690</v>
      </c>
      <c r="X74">
        <v>3.6330275229357798</v>
      </c>
    </row>
    <row r="75" spans="20:24" x14ac:dyDescent="0.2">
      <c r="T75" t="s">
        <v>504</v>
      </c>
      <c r="U75">
        <v>354</v>
      </c>
      <c r="V75">
        <v>422</v>
      </c>
      <c r="W75">
        <v>518</v>
      </c>
      <c r="X75">
        <v>2.73394495412844</v>
      </c>
    </row>
    <row r="76" spans="20:24" x14ac:dyDescent="0.2">
      <c r="T76" t="s">
        <v>505</v>
      </c>
      <c r="U76">
        <v>472</v>
      </c>
      <c r="V76">
        <v>563</v>
      </c>
      <c r="W76">
        <v>690</v>
      </c>
      <c r="X76">
        <v>3.6330275229357798</v>
      </c>
    </row>
    <row r="77" spans="20:24" x14ac:dyDescent="0.2">
      <c r="T77" t="s">
        <v>506</v>
      </c>
      <c r="U77">
        <v>236</v>
      </c>
      <c r="V77">
        <v>281</v>
      </c>
      <c r="W77">
        <v>345</v>
      </c>
      <c r="X77">
        <v>1.81743119266055</v>
      </c>
    </row>
    <row r="78" spans="20:24" x14ac:dyDescent="0.2">
      <c r="T78" t="s">
        <v>507</v>
      </c>
      <c r="U78">
        <v>384</v>
      </c>
      <c r="V78">
        <v>457</v>
      </c>
      <c r="W78">
        <v>561</v>
      </c>
      <c r="X78">
        <v>2.9513761467889901</v>
      </c>
    </row>
    <row r="79" spans="20:24" x14ac:dyDescent="0.2">
      <c r="T79" t="s">
        <v>508</v>
      </c>
      <c r="U79">
        <v>148</v>
      </c>
      <c r="V79">
        <v>176</v>
      </c>
      <c r="W79">
        <v>216</v>
      </c>
      <c r="X79">
        <v>1.1339449541284401</v>
      </c>
    </row>
    <row r="80" spans="20:24" x14ac:dyDescent="0.2">
      <c r="T80" t="s">
        <v>509</v>
      </c>
      <c r="U80">
        <v>413</v>
      </c>
      <c r="V80">
        <v>493</v>
      </c>
      <c r="W80">
        <v>604</v>
      </c>
      <c r="X80">
        <v>3.1825688073394498</v>
      </c>
    </row>
    <row r="81" spans="20:24" x14ac:dyDescent="0.2">
      <c r="T81" t="s">
        <v>510</v>
      </c>
      <c r="U81">
        <v>590</v>
      </c>
      <c r="V81">
        <v>704</v>
      </c>
      <c r="W81">
        <v>863</v>
      </c>
      <c r="X81">
        <v>4.54954128440367</v>
      </c>
    </row>
    <row r="82" spans="20:24" x14ac:dyDescent="0.2">
      <c r="T82" t="s">
        <v>511</v>
      </c>
      <c r="U82">
        <v>295</v>
      </c>
      <c r="V82">
        <v>352</v>
      </c>
      <c r="W82">
        <v>431</v>
      </c>
      <c r="X82">
        <v>2.26605504587156</v>
      </c>
    </row>
    <row r="83" spans="20:24" x14ac:dyDescent="0.2">
      <c r="T83" t="s">
        <v>512</v>
      </c>
      <c r="U83">
        <v>413</v>
      </c>
      <c r="V83">
        <v>493</v>
      </c>
      <c r="W83">
        <v>604</v>
      </c>
      <c r="X83">
        <v>3.1825688073394498</v>
      </c>
    </row>
    <row r="84" spans="20:24" x14ac:dyDescent="0.2">
      <c r="T84" t="s">
        <v>513</v>
      </c>
      <c r="U84">
        <v>472</v>
      </c>
      <c r="V84">
        <v>563</v>
      </c>
      <c r="W84">
        <v>690</v>
      </c>
      <c r="X84">
        <v>3.6330275229357798</v>
      </c>
    </row>
    <row r="85" spans="20:24" x14ac:dyDescent="0.2">
      <c r="T85" t="s">
        <v>514</v>
      </c>
      <c r="U85">
        <v>354</v>
      </c>
      <c r="V85">
        <v>422</v>
      </c>
      <c r="W85">
        <v>518</v>
      </c>
      <c r="X85">
        <v>2.73394495412844</v>
      </c>
    </row>
    <row r="86" spans="20:24" x14ac:dyDescent="0.2">
      <c r="T86" t="s">
        <v>515</v>
      </c>
      <c r="U86">
        <v>531</v>
      </c>
      <c r="V86">
        <v>633</v>
      </c>
      <c r="W86">
        <v>776</v>
      </c>
      <c r="X86">
        <v>4.0834862385321102</v>
      </c>
    </row>
    <row r="87" spans="20:24" x14ac:dyDescent="0.2">
      <c r="T87" t="s">
        <v>516</v>
      </c>
      <c r="U87">
        <v>413</v>
      </c>
      <c r="V87">
        <v>493</v>
      </c>
      <c r="W87">
        <v>604</v>
      </c>
      <c r="X87">
        <v>3.1825688073394498</v>
      </c>
    </row>
    <row r="88" spans="20:24" x14ac:dyDescent="0.2">
      <c r="T88" t="s">
        <v>517</v>
      </c>
      <c r="U88">
        <v>325</v>
      </c>
      <c r="V88">
        <v>387</v>
      </c>
      <c r="W88">
        <v>474</v>
      </c>
      <c r="X88">
        <v>2.4834862385321101</v>
      </c>
    </row>
    <row r="89" spans="20:24" x14ac:dyDescent="0.2">
      <c r="T89" t="s">
        <v>518</v>
      </c>
      <c r="U89">
        <v>148</v>
      </c>
      <c r="V89">
        <v>176</v>
      </c>
      <c r="W89">
        <v>216</v>
      </c>
      <c r="X89">
        <v>1.1339449541284401</v>
      </c>
    </row>
    <row r="90" spans="20:24" x14ac:dyDescent="0.2">
      <c r="T90" t="s">
        <v>519</v>
      </c>
      <c r="U90">
        <v>236</v>
      </c>
      <c r="V90">
        <v>281</v>
      </c>
      <c r="W90">
        <v>345</v>
      </c>
      <c r="X90">
        <v>1.81743119266055</v>
      </c>
    </row>
    <row r="91" spans="20:24" x14ac:dyDescent="0.2">
      <c r="T91" t="s">
        <v>520</v>
      </c>
      <c r="U91">
        <v>472</v>
      </c>
      <c r="V91">
        <v>563</v>
      </c>
      <c r="W91">
        <v>690</v>
      </c>
      <c r="X91">
        <v>3.6330275229357798</v>
      </c>
    </row>
    <row r="92" spans="20:24" x14ac:dyDescent="0.2">
      <c r="T92" t="s">
        <v>521</v>
      </c>
      <c r="U92">
        <v>384</v>
      </c>
      <c r="V92">
        <v>457</v>
      </c>
      <c r="W92">
        <v>561</v>
      </c>
      <c r="X92">
        <v>2.9513761467889901</v>
      </c>
    </row>
    <row r="93" spans="20:24" x14ac:dyDescent="0.2">
      <c r="T93" t="s">
        <v>522</v>
      </c>
      <c r="U93">
        <v>413</v>
      </c>
      <c r="V93">
        <v>493</v>
      </c>
      <c r="W93">
        <v>604</v>
      </c>
      <c r="X93">
        <v>3.1825688073394498</v>
      </c>
    </row>
    <row r="94" spans="20:24" x14ac:dyDescent="0.2">
      <c r="T94" t="s">
        <v>523</v>
      </c>
      <c r="U94">
        <v>590</v>
      </c>
      <c r="V94">
        <v>704</v>
      </c>
      <c r="W94">
        <v>863</v>
      </c>
      <c r="X94">
        <v>4.54954128440367</v>
      </c>
    </row>
    <row r="95" spans="20:24" x14ac:dyDescent="0.2">
      <c r="T95" t="s">
        <v>524</v>
      </c>
      <c r="U95">
        <v>236</v>
      </c>
      <c r="V95">
        <v>281</v>
      </c>
      <c r="W95">
        <v>345</v>
      </c>
      <c r="X95">
        <v>1.81743119266055</v>
      </c>
    </row>
    <row r="96" spans="20:24" x14ac:dyDescent="0.2">
      <c r="T96" t="s">
        <v>525</v>
      </c>
      <c r="U96">
        <v>649</v>
      </c>
      <c r="V96">
        <v>774</v>
      </c>
      <c r="W96">
        <v>949</v>
      </c>
      <c r="X96">
        <v>5</v>
      </c>
    </row>
    <row r="97" spans="20:24" x14ac:dyDescent="0.2">
      <c r="T97" t="s">
        <v>526</v>
      </c>
      <c r="U97">
        <v>472</v>
      </c>
      <c r="V97">
        <v>563</v>
      </c>
      <c r="W97">
        <v>690</v>
      </c>
      <c r="X97">
        <v>3.6330275229357798</v>
      </c>
    </row>
    <row r="98" spans="20:24" x14ac:dyDescent="0.2">
      <c r="T98" t="s">
        <v>527</v>
      </c>
      <c r="U98">
        <v>708</v>
      </c>
      <c r="V98">
        <v>844</v>
      </c>
      <c r="W98">
        <v>1035</v>
      </c>
      <c r="X98">
        <v>5.45045871559633</v>
      </c>
    </row>
    <row r="99" spans="20:24" x14ac:dyDescent="0.2">
      <c r="T99" t="s">
        <v>528</v>
      </c>
      <c r="U99">
        <v>590</v>
      </c>
      <c r="V99">
        <v>704</v>
      </c>
      <c r="W99">
        <v>863</v>
      </c>
      <c r="X99">
        <v>4.54954128440367</v>
      </c>
    </row>
    <row r="100" spans="20:24" x14ac:dyDescent="0.2">
      <c r="T100" t="s">
        <v>529</v>
      </c>
      <c r="U100">
        <v>472</v>
      </c>
      <c r="V100">
        <v>563</v>
      </c>
      <c r="W100">
        <v>690</v>
      </c>
      <c r="X100">
        <v>3.6330275229357798</v>
      </c>
    </row>
    <row r="101" spans="20:24" x14ac:dyDescent="0.2">
      <c r="T101" t="s">
        <v>530</v>
      </c>
      <c r="U101">
        <v>561</v>
      </c>
      <c r="V101">
        <v>669</v>
      </c>
      <c r="W101">
        <v>819</v>
      </c>
      <c r="X101">
        <v>4.2990825688073402</v>
      </c>
    </row>
    <row r="102" spans="20:24" x14ac:dyDescent="0.2">
      <c r="T102" t="s">
        <v>531</v>
      </c>
      <c r="U102">
        <v>413</v>
      </c>
      <c r="V102">
        <v>493</v>
      </c>
      <c r="W102">
        <v>604</v>
      </c>
      <c r="X102">
        <v>3.1825688073394498</v>
      </c>
    </row>
    <row r="103" spans="20:24" x14ac:dyDescent="0.2">
      <c r="T103" t="s">
        <v>532</v>
      </c>
      <c r="U103">
        <v>708</v>
      </c>
      <c r="V103">
        <v>844</v>
      </c>
      <c r="W103">
        <v>1035</v>
      </c>
      <c r="X103">
        <v>5.45045871559633</v>
      </c>
    </row>
    <row r="104" spans="20:24" x14ac:dyDescent="0.2">
      <c r="T104" t="s">
        <v>533</v>
      </c>
      <c r="U104">
        <v>502</v>
      </c>
      <c r="V104">
        <v>598</v>
      </c>
      <c r="W104">
        <v>733</v>
      </c>
      <c r="X104">
        <v>3.8504587155963299</v>
      </c>
    </row>
    <row r="105" spans="20:24" x14ac:dyDescent="0.2">
      <c r="T105" t="s">
        <v>534</v>
      </c>
      <c r="U105">
        <v>590</v>
      </c>
      <c r="V105">
        <v>704</v>
      </c>
      <c r="W105">
        <v>863</v>
      </c>
      <c r="X105">
        <v>4.54954128440367</v>
      </c>
    </row>
    <row r="106" spans="20:24" x14ac:dyDescent="0.2">
      <c r="T106" t="s">
        <v>535</v>
      </c>
      <c r="U106">
        <v>944</v>
      </c>
      <c r="V106">
        <v>1126</v>
      </c>
      <c r="W106">
        <v>1380</v>
      </c>
      <c r="X106">
        <v>7.2660550458715596</v>
      </c>
    </row>
    <row r="107" spans="20:24" x14ac:dyDescent="0.2">
      <c r="T107" t="s">
        <v>536</v>
      </c>
      <c r="U107">
        <v>1062</v>
      </c>
      <c r="V107">
        <v>1267</v>
      </c>
      <c r="W107">
        <v>1553</v>
      </c>
      <c r="X107">
        <v>8.1825688073394502</v>
      </c>
    </row>
    <row r="108" spans="20:24" x14ac:dyDescent="0.2">
      <c r="T108" t="s">
        <v>537</v>
      </c>
      <c r="U108">
        <v>472</v>
      </c>
      <c r="V108">
        <v>563</v>
      </c>
      <c r="W108">
        <v>690</v>
      </c>
      <c r="X108">
        <v>3.6330275229357798</v>
      </c>
    </row>
    <row r="109" spans="20:24" x14ac:dyDescent="0.2">
      <c r="T109" t="s">
        <v>538</v>
      </c>
      <c r="U109">
        <v>531</v>
      </c>
      <c r="V109">
        <v>633</v>
      </c>
      <c r="W109">
        <v>776</v>
      </c>
      <c r="X109">
        <v>4.0834862385321102</v>
      </c>
    </row>
    <row r="110" spans="20:24" x14ac:dyDescent="0.2">
      <c r="T110" t="s">
        <v>539</v>
      </c>
      <c r="U110">
        <v>590</v>
      </c>
      <c r="V110">
        <v>704</v>
      </c>
      <c r="W110">
        <v>863</v>
      </c>
      <c r="X110">
        <v>4.54954128440367</v>
      </c>
    </row>
    <row r="111" spans="20:24" x14ac:dyDescent="0.2">
      <c r="T111" t="s">
        <v>540</v>
      </c>
      <c r="U111">
        <v>649</v>
      </c>
      <c r="V111">
        <v>774</v>
      </c>
      <c r="W111">
        <v>949</v>
      </c>
      <c r="X111">
        <v>5</v>
      </c>
    </row>
    <row r="112" spans="20:24" x14ac:dyDescent="0.2">
      <c r="T112" t="s">
        <v>541</v>
      </c>
      <c r="U112">
        <v>679</v>
      </c>
      <c r="V112">
        <v>809</v>
      </c>
      <c r="W112">
        <v>992</v>
      </c>
      <c r="X112">
        <v>5.2174311926605501</v>
      </c>
    </row>
    <row r="113" spans="20:24" x14ac:dyDescent="0.2">
      <c r="T113" t="s">
        <v>542</v>
      </c>
      <c r="U113">
        <v>738</v>
      </c>
      <c r="V113">
        <v>880</v>
      </c>
      <c r="W113">
        <v>1078</v>
      </c>
      <c r="X113">
        <v>5.6660550458715599</v>
      </c>
    </row>
    <row r="114" spans="20:24" x14ac:dyDescent="0.2">
      <c r="T114" t="s">
        <v>543</v>
      </c>
      <c r="U114">
        <v>797</v>
      </c>
      <c r="V114">
        <v>950</v>
      </c>
      <c r="W114">
        <v>1165</v>
      </c>
      <c r="X114">
        <v>6.1339449541284399</v>
      </c>
    </row>
    <row r="115" spans="20:24" x14ac:dyDescent="0.2">
      <c r="T115" t="s">
        <v>544</v>
      </c>
      <c r="U115">
        <v>826</v>
      </c>
      <c r="V115">
        <v>985</v>
      </c>
      <c r="W115">
        <v>1208</v>
      </c>
      <c r="X115">
        <v>6.3669724770642198</v>
      </c>
    </row>
    <row r="116" spans="20:24" x14ac:dyDescent="0.2">
      <c r="T116" t="s">
        <v>545</v>
      </c>
      <c r="U116">
        <v>885</v>
      </c>
      <c r="V116">
        <v>1056</v>
      </c>
      <c r="W116">
        <v>1294</v>
      </c>
      <c r="X116">
        <v>6.8155963302752296</v>
      </c>
    </row>
    <row r="117" spans="20:24" x14ac:dyDescent="0.2">
      <c r="T117" t="s">
        <v>546</v>
      </c>
      <c r="U117">
        <v>531</v>
      </c>
      <c r="V117">
        <v>633</v>
      </c>
      <c r="W117">
        <v>776</v>
      </c>
      <c r="X117">
        <v>4.0834862385321102</v>
      </c>
    </row>
    <row r="118" spans="20:24" x14ac:dyDescent="0.2">
      <c r="T118" t="s">
        <v>547</v>
      </c>
      <c r="U118">
        <v>472</v>
      </c>
      <c r="V118">
        <v>563</v>
      </c>
      <c r="W118">
        <v>690</v>
      </c>
      <c r="X118">
        <v>3.6330275229357798</v>
      </c>
    </row>
    <row r="119" spans="20:24" x14ac:dyDescent="0.2">
      <c r="T119" t="s">
        <v>548</v>
      </c>
      <c r="U119">
        <v>472</v>
      </c>
      <c r="V119">
        <v>563</v>
      </c>
      <c r="W119">
        <v>690</v>
      </c>
      <c r="X119">
        <v>3.6330275229357798</v>
      </c>
    </row>
    <row r="120" spans="20:24" x14ac:dyDescent="0.2">
      <c r="T120" t="s">
        <v>549</v>
      </c>
      <c r="U120">
        <v>590</v>
      </c>
      <c r="V120">
        <v>704</v>
      </c>
      <c r="W120">
        <v>863</v>
      </c>
      <c r="X120">
        <v>4.54954128440367</v>
      </c>
    </row>
    <row r="121" spans="20:24" x14ac:dyDescent="0.2">
      <c r="T121" t="s">
        <v>550</v>
      </c>
      <c r="U121">
        <v>885</v>
      </c>
      <c r="V121">
        <v>1056</v>
      </c>
      <c r="W121">
        <v>1294</v>
      </c>
      <c r="X121">
        <v>6.8155963302752296</v>
      </c>
    </row>
    <row r="122" spans="20:24" x14ac:dyDescent="0.2">
      <c r="T122" t="s">
        <v>551</v>
      </c>
      <c r="U122">
        <v>472</v>
      </c>
      <c r="V122">
        <v>563</v>
      </c>
      <c r="W122">
        <v>690</v>
      </c>
      <c r="X122">
        <v>3.6330275229357798</v>
      </c>
    </row>
    <row r="123" spans="20:24" x14ac:dyDescent="0.2">
      <c r="T123" t="s">
        <v>552</v>
      </c>
      <c r="U123">
        <v>177</v>
      </c>
      <c r="V123">
        <v>211</v>
      </c>
      <c r="W123">
        <v>259</v>
      </c>
      <c r="X123">
        <v>1.36697247706422</v>
      </c>
    </row>
    <row r="124" spans="20:24" x14ac:dyDescent="0.2">
      <c r="T124" t="s">
        <v>553</v>
      </c>
      <c r="U124">
        <v>177</v>
      </c>
      <c r="V124">
        <v>211</v>
      </c>
      <c r="W124">
        <v>259</v>
      </c>
      <c r="X124">
        <v>1.36697247706422</v>
      </c>
    </row>
    <row r="125" spans="20:24" x14ac:dyDescent="0.2">
      <c r="T125" t="s">
        <v>554</v>
      </c>
      <c r="U125">
        <v>295</v>
      </c>
      <c r="V125">
        <v>352</v>
      </c>
      <c r="W125">
        <v>431</v>
      </c>
      <c r="X125">
        <v>2.26605504587156</v>
      </c>
    </row>
    <row r="126" spans="20:24" x14ac:dyDescent="0.2">
      <c r="T126" t="s">
        <v>555</v>
      </c>
      <c r="U126">
        <v>354</v>
      </c>
      <c r="V126">
        <v>422</v>
      </c>
      <c r="W126">
        <v>518</v>
      </c>
      <c r="X126">
        <v>2.73394495412844</v>
      </c>
    </row>
    <row r="127" spans="20:24" x14ac:dyDescent="0.2">
      <c r="T127" t="s">
        <v>556</v>
      </c>
      <c r="U127">
        <v>177</v>
      </c>
      <c r="V127">
        <v>211</v>
      </c>
      <c r="W127">
        <v>259</v>
      </c>
      <c r="X127">
        <v>1.36697247706422</v>
      </c>
    </row>
    <row r="128" spans="20:24" x14ac:dyDescent="0.2">
      <c r="T128" t="s">
        <v>557</v>
      </c>
      <c r="U128">
        <v>295</v>
      </c>
      <c r="V128">
        <v>352</v>
      </c>
      <c r="W128">
        <v>431</v>
      </c>
      <c r="X128">
        <v>2.26605504587156</v>
      </c>
    </row>
    <row r="129" spans="20:24" x14ac:dyDescent="0.2">
      <c r="T129" t="s">
        <v>558</v>
      </c>
      <c r="U129">
        <v>325</v>
      </c>
      <c r="V129">
        <v>387</v>
      </c>
      <c r="W129">
        <v>474</v>
      </c>
      <c r="X129">
        <v>2.4834862385321101</v>
      </c>
    </row>
    <row r="130" spans="20:24" x14ac:dyDescent="0.2">
      <c r="T130" t="s">
        <v>559</v>
      </c>
      <c r="U130">
        <v>413</v>
      </c>
      <c r="V130">
        <v>493</v>
      </c>
      <c r="W130">
        <v>604</v>
      </c>
      <c r="X130">
        <v>3.1825688073394498</v>
      </c>
    </row>
    <row r="131" spans="20:24" x14ac:dyDescent="0.2">
      <c r="T131" t="s">
        <v>560</v>
      </c>
      <c r="U131">
        <v>531</v>
      </c>
      <c r="V131">
        <v>633</v>
      </c>
      <c r="W131">
        <v>776</v>
      </c>
      <c r="X131">
        <v>4.0834862385321102</v>
      </c>
    </row>
    <row r="132" spans="20:24" x14ac:dyDescent="0.2">
      <c r="T132" t="s">
        <v>561</v>
      </c>
      <c r="U132">
        <v>885</v>
      </c>
      <c r="V132">
        <v>1056</v>
      </c>
      <c r="W132">
        <v>1294</v>
      </c>
      <c r="X132">
        <v>6.8155963302752296</v>
      </c>
    </row>
    <row r="133" spans="20:24" x14ac:dyDescent="0.2">
      <c r="T133" t="s">
        <v>562</v>
      </c>
      <c r="U133">
        <v>413</v>
      </c>
      <c r="V133">
        <v>493</v>
      </c>
      <c r="W133">
        <v>604</v>
      </c>
      <c r="X133">
        <v>3.1825688073394498</v>
      </c>
    </row>
    <row r="134" spans="20:24" x14ac:dyDescent="0.2">
      <c r="T134" t="s">
        <v>563</v>
      </c>
      <c r="U134">
        <v>413</v>
      </c>
      <c r="V134">
        <v>493</v>
      </c>
      <c r="W134">
        <v>604</v>
      </c>
      <c r="X134">
        <v>3.1825688073394498</v>
      </c>
    </row>
    <row r="135" spans="20:24" x14ac:dyDescent="0.2">
      <c r="T135" t="s">
        <v>564</v>
      </c>
      <c r="U135">
        <v>561</v>
      </c>
      <c r="V135">
        <v>669</v>
      </c>
      <c r="W135">
        <v>819</v>
      </c>
      <c r="X135">
        <v>4.2990825688073402</v>
      </c>
    </row>
    <row r="136" spans="20:24" x14ac:dyDescent="0.2">
      <c r="T136" t="s">
        <v>565</v>
      </c>
      <c r="U136">
        <v>826</v>
      </c>
      <c r="V136">
        <v>985</v>
      </c>
      <c r="W136">
        <v>1208</v>
      </c>
      <c r="X136">
        <v>6.3669724770642198</v>
      </c>
    </row>
    <row r="137" spans="20:24" x14ac:dyDescent="0.2">
      <c r="T137" t="s">
        <v>566</v>
      </c>
      <c r="U137">
        <v>472</v>
      </c>
      <c r="V137">
        <v>563</v>
      </c>
      <c r="W137">
        <v>690</v>
      </c>
      <c r="X137">
        <v>3.6330275229357798</v>
      </c>
    </row>
    <row r="138" spans="20:24" x14ac:dyDescent="0.2">
      <c r="T138" t="s">
        <v>567</v>
      </c>
      <c r="U138">
        <v>413</v>
      </c>
      <c r="V138">
        <v>493</v>
      </c>
      <c r="W138">
        <v>604</v>
      </c>
      <c r="X138">
        <v>3.1825688073394498</v>
      </c>
    </row>
    <row r="139" spans="20:24" x14ac:dyDescent="0.2">
      <c r="T139" t="s">
        <v>568</v>
      </c>
      <c r="U139">
        <v>974</v>
      </c>
      <c r="V139">
        <v>1161</v>
      </c>
      <c r="W139">
        <v>1423</v>
      </c>
      <c r="X139">
        <v>7.4834862385321097</v>
      </c>
    </row>
    <row r="140" spans="20:24" x14ac:dyDescent="0.2">
      <c r="T140" t="s">
        <v>569</v>
      </c>
      <c r="U140">
        <v>531</v>
      </c>
      <c r="V140">
        <v>633</v>
      </c>
      <c r="W140">
        <v>776</v>
      </c>
      <c r="X140">
        <v>4.0834862385321102</v>
      </c>
    </row>
    <row r="141" spans="20:24" x14ac:dyDescent="0.2">
      <c r="T141" t="s">
        <v>570</v>
      </c>
      <c r="U141">
        <v>295</v>
      </c>
      <c r="V141">
        <v>352</v>
      </c>
      <c r="W141">
        <v>431</v>
      </c>
      <c r="X141">
        <v>2.26605504587156</v>
      </c>
    </row>
    <row r="142" spans="20:24" x14ac:dyDescent="0.2">
      <c r="T142" t="s">
        <v>571</v>
      </c>
      <c r="U142">
        <v>354</v>
      </c>
      <c r="V142">
        <v>422</v>
      </c>
      <c r="W142">
        <v>518</v>
      </c>
      <c r="X142">
        <v>2.73394495412844</v>
      </c>
    </row>
    <row r="143" spans="20:24" x14ac:dyDescent="0.2">
      <c r="T143" t="s">
        <v>572</v>
      </c>
      <c r="U143">
        <v>472</v>
      </c>
      <c r="V143">
        <v>563</v>
      </c>
      <c r="W143">
        <v>690</v>
      </c>
      <c r="X143">
        <v>3.6330275229357798</v>
      </c>
    </row>
    <row r="144" spans="20:24" x14ac:dyDescent="0.2">
      <c r="T144" t="s">
        <v>573</v>
      </c>
      <c r="U144">
        <v>413</v>
      </c>
      <c r="V144">
        <v>493</v>
      </c>
      <c r="W144">
        <v>604</v>
      </c>
      <c r="X144">
        <v>3.1825688073394498</v>
      </c>
    </row>
    <row r="145" spans="20:24" x14ac:dyDescent="0.2">
      <c r="T145" t="s">
        <v>574</v>
      </c>
      <c r="U145">
        <v>354</v>
      </c>
      <c r="V145">
        <v>422</v>
      </c>
      <c r="W145">
        <v>518</v>
      </c>
      <c r="X145">
        <v>2.73394495412844</v>
      </c>
    </row>
    <row r="146" spans="20:24" x14ac:dyDescent="0.2">
      <c r="T146" t="s">
        <v>575</v>
      </c>
      <c r="U146">
        <v>413</v>
      </c>
      <c r="V146">
        <v>493</v>
      </c>
      <c r="W146">
        <v>604</v>
      </c>
      <c r="X146">
        <v>3.1825688073394498</v>
      </c>
    </row>
    <row r="147" spans="20:24" x14ac:dyDescent="0.2">
      <c r="T147" t="s">
        <v>576</v>
      </c>
      <c r="U147">
        <v>413</v>
      </c>
      <c r="V147">
        <v>493</v>
      </c>
      <c r="W147">
        <v>604</v>
      </c>
      <c r="X147">
        <v>3.1825688073394498</v>
      </c>
    </row>
    <row r="148" spans="20:24" x14ac:dyDescent="0.2">
      <c r="T148" t="s">
        <v>577</v>
      </c>
      <c r="U148">
        <v>413</v>
      </c>
      <c r="V148">
        <v>493</v>
      </c>
      <c r="W148">
        <v>604</v>
      </c>
      <c r="X148">
        <v>3.1825688073394498</v>
      </c>
    </row>
    <row r="149" spans="20:24" x14ac:dyDescent="0.2">
      <c r="T149" t="s">
        <v>578</v>
      </c>
      <c r="U149">
        <v>295</v>
      </c>
      <c r="V149">
        <v>352</v>
      </c>
      <c r="W149">
        <v>431</v>
      </c>
      <c r="X149">
        <v>2.26605504587156</v>
      </c>
    </row>
    <row r="150" spans="20:24" x14ac:dyDescent="0.2">
      <c r="T150" t="s">
        <v>579</v>
      </c>
      <c r="U150">
        <v>472</v>
      </c>
      <c r="V150">
        <v>563</v>
      </c>
      <c r="W150">
        <v>690</v>
      </c>
      <c r="X150">
        <v>3.6330275229357798</v>
      </c>
    </row>
    <row r="151" spans="20:24" x14ac:dyDescent="0.2">
      <c r="T151" t="s">
        <v>580</v>
      </c>
      <c r="U151">
        <v>207</v>
      </c>
      <c r="V151">
        <v>246</v>
      </c>
      <c r="W151">
        <v>302</v>
      </c>
      <c r="X151">
        <v>1.5844036697247701</v>
      </c>
    </row>
    <row r="152" spans="20:24" x14ac:dyDescent="0.2">
      <c r="T152" t="s">
        <v>581</v>
      </c>
      <c r="U152">
        <v>413</v>
      </c>
      <c r="V152">
        <v>493</v>
      </c>
      <c r="W152">
        <v>604</v>
      </c>
      <c r="X152">
        <v>3.1825688073394498</v>
      </c>
    </row>
    <row r="153" spans="20:24" x14ac:dyDescent="0.2">
      <c r="T153" t="s">
        <v>582</v>
      </c>
      <c r="U153">
        <v>590</v>
      </c>
      <c r="V153">
        <v>704</v>
      </c>
      <c r="W153">
        <v>863</v>
      </c>
      <c r="X153">
        <v>4.54954128440367</v>
      </c>
    </row>
    <row r="154" spans="20:24" x14ac:dyDescent="0.2">
      <c r="T154" t="s">
        <v>583</v>
      </c>
      <c r="U154">
        <v>295</v>
      </c>
      <c r="V154">
        <v>352</v>
      </c>
      <c r="W154">
        <v>431</v>
      </c>
      <c r="X154">
        <v>2.26605504587156</v>
      </c>
    </row>
    <row r="155" spans="20:24" x14ac:dyDescent="0.2">
      <c r="T155" t="s">
        <v>584</v>
      </c>
      <c r="U155">
        <v>354</v>
      </c>
      <c r="V155">
        <v>422</v>
      </c>
      <c r="W155">
        <v>518</v>
      </c>
      <c r="X155">
        <v>2.73394495412844</v>
      </c>
    </row>
    <row r="156" spans="20:24" x14ac:dyDescent="0.2">
      <c r="T156" t="s">
        <v>585</v>
      </c>
      <c r="U156">
        <v>708</v>
      </c>
      <c r="V156">
        <v>844</v>
      </c>
      <c r="W156">
        <v>1035</v>
      </c>
      <c r="X156">
        <v>5.45045871559633</v>
      </c>
    </row>
    <row r="157" spans="20:24" x14ac:dyDescent="0.2">
      <c r="T157" t="s">
        <v>586</v>
      </c>
      <c r="U157">
        <v>354</v>
      </c>
      <c r="V157">
        <v>422</v>
      </c>
      <c r="W157">
        <v>518</v>
      </c>
      <c r="X157">
        <v>2.73394495412844</v>
      </c>
    </row>
    <row r="158" spans="20:24" x14ac:dyDescent="0.2">
      <c r="T158" t="s">
        <v>587</v>
      </c>
      <c r="U158">
        <v>207</v>
      </c>
      <c r="V158">
        <v>246</v>
      </c>
      <c r="W158">
        <v>302</v>
      </c>
      <c r="X158">
        <v>1.5844036697247701</v>
      </c>
    </row>
    <row r="159" spans="20:24" x14ac:dyDescent="0.2">
      <c r="T159" t="s">
        <v>588</v>
      </c>
      <c r="U159">
        <v>236</v>
      </c>
      <c r="V159">
        <v>281</v>
      </c>
      <c r="W159">
        <v>345</v>
      </c>
      <c r="X159">
        <v>1.81743119266055</v>
      </c>
    </row>
    <row r="160" spans="20:24" x14ac:dyDescent="0.2">
      <c r="T160" t="s">
        <v>589</v>
      </c>
      <c r="U160">
        <v>177</v>
      </c>
      <c r="V160">
        <v>211</v>
      </c>
      <c r="W160">
        <v>259</v>
      </c>
      <c r="X160">
        <v>1.36697247706422</v>
      </c>
    </row>
    <row r="161" spans="20:24" x14ac:dyDescent="0.2">
      <c r="T161" t="s">
        <v>590</v>
      </c>
      <c r="U161">
        <v>590</v>
      </c>
      <c r="V161">
        <v>704</v>
      </c>
      <c r="W161">
        <v>863</v>
      </c>
      <c r="X161">
        <v>4.54954128440367</v>
      </c>
    </row>
    <row r="162" spans="20:24" x14ac:dyDescent="0.2">
      <c r="T162" t="s">
        <v>591</v>
      </c>
      <c r="U162">
        <v>472</v>
      </c>
      <c r="V162">
        <v>563</v>
      </c>
      <c r="W162">
        <v>690</v>
      </c>
      <c r="X162">
        <v>3.6330275229357798</v>
      </c>
    </row>
    <row r="163" spans="20:24" x14ac:dyDescent="0.2">
      <c r="T163" t="s">
        <v>592</v>
      </c>
      <c r="U163">
        <v>472</v>
      </c>
      <c r="V163">
        <v>563</v>
      </c>
      <c r="W163">
        <v>690</v>
      </c>
      <c r="X163">
        <v>3.6330275229357798</v>
      </c>
    </row>
    <row r="164" spans="20:24" x14ac:dyDescent="0.2">
      <c r="T164" t="s">
        <v>593</v>
      </c>
      <c r="U164">
        <v>590</v>
      </c>
      <c r="V164">
        <v>704</v>
      </c>
      <c r="W164">
        <v>863</v>
      </c>
      <c r="X164">
        <v>4.54954128440367</v>
      </c>
    </row>
    <row r="165" spans="20:24" x14ac:dyDescent="0.2">
      <c r="T165" t="s">
        <v>594</v>
      </c>
      <c r="U165">
        <v>649</v>
      </c>
      <c r="V165">
        <v>774</v>
      </c>
      <c r="W165">
        <v>949</v>
      </c>
      <c r="X165">
        <v>5</v>
      </c>
    </row>
    <row r="166" spans="20:24" x14ac:dyDescent="0.2">
      <c r="T166" t="s">
        <v>595</v>
      </c>
      <c r="U166">
        <v>354</v>
      </c>
      <c r="V166">
        <v>422</v>
      </c>
      <c r="W166">
        <v>518</v>
      </c>
      <c r="X166">
        <v>2.73394495412844</v>
      </c>
    </row>
    <row r="167" spans="20:24" x14ac:dyDescent="0.2">
      <c r="T167" t="s">
        <v>596</v>
      </c>
      <c r="U167">
        <v>472</v>
      </c>
      <c r="V167">
        <v>563</v>
      </c>
      <c r="W167">
        <v>690</v>
      </c>
      <c r="X167">
        <v>3.6330275229357798</v>
      </c>
    </row>
    <row r="168" spans="20:24" x14ac:dyDescent="0.2">
      <c r="T168" t="s">
        <v>597</v>
      </c>
      <c r="U168">
        <v>472</v>
      </c>
      <c r="V168">
        <v>563</v>
      </c>
      <c r="W168">
        <v>690</v>
      </c>
      <c r="X168">
        <v>3.6330275229357798</v>
      </c>
    </row>
    <row r="169" spans="20:24" x14ac:dyDescent="0.2">
      <c r="T169" t="s">
        <v>598</v>
      </c>
      <c r="U169">
        <v>590</v>
      </c>
      <c r="V169">
        <v>704</v>
      </c>
      <c r="W169">
        <v>863</v>
      </c>
      <c r="X169">
        <v>4.54954128440367</v>
      </c>
    </row>
    <row r="170" spans="20:24" x14ac:dyDescent="0.2">
      <c r="T170" t="s">
        <v>599</v>
      </c>
      <c r="U170">
        <v>236</v>
      </c>
      <c r="V170">
        <v>281</v>
      </c>
      <c r="W170">
        <v>345</v>
      </c>
      <c r="X170">
        <v>1.81743119266055</v>
      </c>
    </row>
    <row r="171" spans="20:24" x14ac:dyDescent="0.2">
      <c r="T171" t="s">
        <v>600</v>
      </c>
      <c r="U171">
        <v>236</v>
      </c>
      <c r="V171">
        <v>281</v>
      </c>
      <c r="W171">
        <v>345</v>
      </c>
      <c r="X171">
        <v>1.81743119266055</v>
      </c>
    </row>
    <row r="172" spans="20:24" x14ac:dyDescent="0.2">
      <c r="T172" t="s">
        <v>601</v>
      </c>
      <c r="U172">
        <v>236</v>
      </c>
      <c r="V172">
        <v>281</v>
      </c>
      <c r="W172">
        <v>345</v>
      </c>
      <c r="X172">
        <v>1.81743119266055</v>
      </c>
    </row>
    <row r="173" spans="20:24" x14ac:dyDescent="0.2">
      <c r="T173" t="s">
        <v>602</v>
      </c>
      <c r="U173">
        <v>354</v>
      </c>
      <c r="V173">
        <v>422</v>
      </c>
      <c r="W173">
        <v>518</v>
      </c>
      <c r="X173">
        <v>2.73394495412844</v>
      </c>
    </row>
    <row r="174" spans="20:24" x14ac:dyDescent="0.2">
      <c r="T174" t="s">
        <v>603</v>
      </c>
      <c r="U174">
        <v>354</v>
      </c>
      <c r="V174">
        <v>422</v>
      </c>
      <c r="W174">
        <v>518</v>
      </c>
      <c r="X174">
        <v>2.73394495412844</v>
      </c>
    </row>
    <row r="175" spans="20:24" x14ac:dyDescent="0.2">
      <c r="T175" t="s">
        <v>604</v>
      </c>
      <c r="U175">
        <v>413</v>
      </c>
      <c r="V175">
        <v>493</v>
      </c>
      <c r="W175">
        <v>604</v>
      </c>
      <c r="X175">
        <v>3.1825688073394498</v>
      </c>
    </row>
    <row r="176" spans="20:24" x14ac:dyDescent="0.2">
      <c r="T176" t="s">
        <v>605</v>
      </c>
      <c r="U176">
        <v>472</v>
      </c>
      <c r="V176">
        <v>563</v>
      </c>
      <c r="W176">
        <v>690</v>
      </c>
      <c r="X176">
        <v>3.6330275229357798</v>
      </c>
    </row>
    <row r="177" spans="20:24" x14ac:dyDescent="0.2">
      <c r="T177" t="s">
        <v>606</v>
      </c>
      <c r="U177">
        <v>472</v>
      </c>
      <c r="V177">
        <v>563</v>
      </c>
      <c r="W177">
        <v>690</v>
      </c>
      <c r="X177">
        <v>3.6330275229357798</v>
      </c>
    </row>
    <row r="178" spans="20:24" x14ac:dyDescent="0.2">
      <c r="T178" t="s">
        <v>607</v>
      </c>
      <c r="U178">
        <v>236</v>
      </c>
      <c r="V178">
        <v>281</v>
      </c>
      <c r="W178">
        <v>345</v>
      </c>
      <c r="X178">
        <v>1.81743119266055</v>
      </c>
    </row>
    <row r="179" spans="20:24" x14ac:dyDescent="0.2">
      <c r="T179" t="s">
        <v>608</v>
      </c>
      <c r="U179">
        <v>177</v>
      </c>
      <c r="V179">
        <v>211</v>
      </c>
      <c r="W179">
        <v>259</v>
      </c>
      <c r="X179">
        <v>1.36697247706422</v>
      </c>
    </row>
    <row r="180" spans="20:24" x14ac:dyDescent="0.2">
      <c r="T180" t="s">
        <v>609</v>
      </c>
      <c r="U180">
        <v>236</v>
      </c>
      <c r="V180">
        <v>281</v>
      </c>
      <c r="W180">
        <v>345</v>
      </c>
      <c r="X180">
        <v>1.81743119266055</v>
      </c>
    </row>
    <row r="181" spans="20:24" x14ac:dyDescent="0.2">
      <c r="T181" t="s">
        <v>610</v>
      </c>
      <c r="U181">
        <v>295</v>
      </c>
      <c r="V181">
        <v>352</v>
      </c>
      <c r="W181">
        <v>431</v>
      </c>
      <c r="X181">
        <v>2.26605504587156</v>
      </c>
    </row>
    <row r="182" spans="20:24" x14ac:dyDescent="0.2">
      <c r="T182" t="s">
        <v>611</v>
      </c>
      <c r="U182">
        <v>148</v>
      </c>
      <c r="V182">
        <v>176</v>
      </c>
      <c r="W182">
        <v>216</v>
      </c>
      <c r="X182">
        <v>1.1339449541284401</v>
      </c>
    </row>
    <row r="183" spans="20:24" x14ac:dyDescent="0.2">
      <c r="T183" t="s">
        <v>612</v>
      </c>
      <c r="U183">
        <v>207</v>
      </c>
      <c r="V183">
        <v>246</v>
      </c>
      <c r="W183">
        <v>302</v>
      </c>
      <c r="X183">
        <v>1.5844036697247701</v>
      </c>
    </row>
    <row r="184" spans="20:24" x14ac:dyDescent="0.2">
      <c r="T184" t="s">
        <v>443</v>
      </c>
      <c r="U184">
        <v>354</v>
      </c>
      <c r="V184">
        <v>422</v>
      </c>
      <c r="W184">
        <v>518</v>
      </c>
      <c r="X184">
        <v>2.73394495412844</v>
      </c>
    </row>
    <row r="185" spans="20:24" x14ac:dyDescent="0.2">
      <c r="T185" t="s">
        <v>613</v>
      </c>
      <c r="U185">
        <v>236</v>
      </c>
      <c r="V185">
        <v>281</v>
      </c>
      <c r="W185">
        <v>345</v>
      </c>
      <c r="X185">
        <v>1.81743119266055</v>
      </c>
    </row>
    <row r="186" spans="20:24" x14ac:dyDescent="0.2">
      <c r="T186" t="s">
        <v>614</v>
      </c>
      <c r="U186">
        <v>207</v>
      </c>
      <c r="V186">
        <v>246</v>
      </c>
      <c r="W186">
        <v>302</v>
      </c>
      <c r="X186">
        <v>1.5844036697247701</v>
      </c>
    </row>
    <row r="187" spans="20:24" x14ac:dyDescent="0.2">
      <c r="T187" t="s">
        <v>615</v>
      </c>
      <c r="U187">
        <v>295</v>
      </c>
      <c r="V187">
        <v>352</v>
      </c>
      <c r="W187">
        <v>431</v>
      </c>
      <c r="X187">
        <v>2.26605504587156</v>
      </c>
    </row>
    <row r="188" spans="20:24" x14ac:dyDescent="0.2">
      <c r="T188" t="s">
        <v>616</v>
      </c>
      <c r="U188">
        <v>472</v>
      </c>
      <c r="V188">
        <v>563</v>
      </c>
      <c r="W188">
        <v>690</v>
      </c>
      <c r="X188">
        <v>3.6330275229357798</v>
      </c>
    </row>
    <row r="189" spans="20:24" x14ac:dyDescent="0.2">
      <c r="T189" t="s">
        <v>617</v>
      </c>
      <c r="U189">
        <v>236</v>
      </c>
      <c r="V189">
        <v>281</v>
      </c>
      <c r="W189">
        <v>345</v>
      </c>
      <c r="X189">
        <v>1.81743119266055</v>
      </c>
    </row>
    <row r="190" spans="20:24" x14ac:dyDescent="0.2">
      <c r="T190" t="s">
        <v>618</v>
      </c>
      <c r="U190">
        <v>413</v>
      </c>
      <c r="V190">
        <v>493</v>
      </c>
      <c r="W190">
        <v>604</v>
      </c>
      <c r="X190">
        <v>3.1825688073394498</v>
      </c>
    </row>
    <row r="191" spans="20:24" x14ac:dyDescent="0.2">
      <c r="T191" t="s">
        <v>619</v>
      </c>
      <c r="U191">
        <v>236</v>
      </c>
      <c r="V191">
        <v>281</v>
      </c>
      <c r="W191">
        <v>345</v>
      </c>
      <c r="X191">
        <v>1.81743119266055</v>
      </c>
    </row>
    <row r="192" spans="20:24" x14ac:dyDescent="0.2">
      <c r="T192" t="s">
        <v>620</v>
      </c>
      <c r="U192">
        <v>590</v>
      </c>
      <c r="V192">
        <v>704</v>
      </c>
      <c r="W192">
        <v>863</v>
      </c>
      <c r="X192">
        <v>4.54954128440367</v>
      </c>
    </row>
    <row r="193" spans="20:24" x14ac:dyDescent="0.2">
      <c r="T193" t="s">
        <v>621</v>
      </c>
      <c r="U193">
        <v>177</v>
      </c>
      <c r="V193">
        <v>211</v>
      </c>
      <c r="W193">
        <v>259</v>
      </c>
      <c r="X193">
        <v>1.36697247706422</v>
      </c>
    </row>
    <row r="194" spans="20:24" x14ac:dyDescent="0.2">
      <c r="T194" t="s">
        <v>622</v>
      </c>
      <c r="U194">
        <v>354</v>
      </c>
      <c r="V194">
        <v>422</v>
      </c>
      <c r="W194">
        <v>518</v>
      </c>
      <c r="X194">
        <v>2.73394495412844</v>
      </c>
    </row>
    <row r="195" spans="20:24" x14ac:dyDescent="0.2">
      <c r="T195" t="s">
        <v>623</v>
      </c>
      <c r="U195">
        <v>177</v>
      </c>
      <c r="V195">
        <v>211</v>
      </c>
      <c r="W195">
        <v>259</v>
      </c>
      <c r="X195">
        <v>1.36697247706422</v>
      </c>
    </row>
    <row r="196" spans="20:24" x14ac:dyDescent="0.2">
      <c r="T196" t="s">
        <v>624</v>
      </c>
      <c r="U196">
        <v>295</v>
      </c>
      <c r="V196">
        <v>352</v>
      </c>
      <c r="W196">
        <v>431</v>
      </c>
      <c r="X196">
        <v>2.26605504587156</v>
      </c>
    </row>
  </sheetData>
  <mergeCells count="4">
    <mergeCell ref="C12:F12"/>
    <mergeCell ref="C14:F14"/>
    <mergeCell ref="C15:F15"/>
    <mergeCell ref="C16:F16"/>
  </mergeCells>
  <dataValidations disablePrompts="1" count="4">
    <dataValidation type="list" allowBlank="1" showInputMessage="1" showErrorMessage="1" sqref="B10">
      <formula1>"male,female"</formula1>
    </dataValidation>
    <dataValidation type="list" allowBlank="1" showInputMessage="1" showErrorMessage="1" sqref="C15:F16">
      <formula1>T9:T195</formula1>
    </dataValidation>
    <dataValidation type="list" allowBlank="1" showInputMessage="1" showErrorMessage="1" sqref="C14:F14">
      <formula1>T10:T196</formula1>
    </dataValidation>
    <dataValidation type="list" allowBlank="1" showInputMessage="1" showErrorMessage="1" sqref="G14:G16">
      <formula1>X11:X196</formula1>
    </dataValidation>
  </dataValidations>
  <pageMargins left="0.7" right="0.7" top="0.75" bottom="0.75" header="0.3" footer="0.3"/>
  <pageSetup orientation="portrait" r:id="rId1"/>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workbookViewId="0">
      <selection activeCell="A3" sqref="A3:H9"/>
    </sheetView>
  </sheetViews>
  <sheetFormatPr defaultColWidth="8.7109375" defaultRowHeight="12.75" x14ac:dyDescent="0.2"/>
  <cols>
    <col min="1" max="1" width="7.42578125" customWidth="1"/>
    <col min="2" max="2" width="4.42578125" customWidth="1"/>
    <col min="3" max="3" width="10.7109375" customWidth="1"/>
    <col min="4" max="4" width="11" customWidth="1"/>
    <col min="5" max="5" width="6" customWidth="1"/>
    <col min="6" max="6" width="3.42578125" customWidth="1"/>
    <col min="7" max="8" width="5.7109375" customWidth="1"/>
    <col min="11" max="11" width="10.28515625" customWidth="1"/>
  </cols>
  <sheetData>
    <row r="1" spans="1:11" ht="21.75" customHeight="1" x14ac:dyDescent="0.2">
      <c r="A1" s="468" t="s">
        <v>143</v>
      </c>
      <c r="B1" s="469"/>
      <c r="C1" s="469"/>
      <c r="D1" s="469"/>
      <c r="E1" s="469"/>
      <c r="F1" s="470"/>
      <c r="K1" s="146" t="s">
        <v>179</v>
      </c>
    </row>
    <row r="2" spans="1:11" x14ac:dyDescent="0.2">
      <c r="C2" s="471" t="s">
        <v>144</v>
      </c>
      <c r="D2" s="471"/>
    </row>
    <row r="3" spans="1:11" x14ac:dyDescent="0.2">
      <c r="C3" s="121" t="s">
        <v>145</v>
      </c>
      <c r="D3" s="121" t="s">
        <v>51</v>
      </c>
    </row>
    <row r="4" spans="1:11" x14ac:dyDescent="0.2">
      <c r="A4" s="41" t="s">
        <v>146</v>
      </c>
      <c r="B4" s="121" t="s">
        <v>145</v>
      </c>
      <c r="C4" s="148">
        <v>4235</v>
      </c>
      <c r="D4" s="148">
        <v>13337</v>
      </c>
      <c r="E4">
        <f>C4+D4</f>
        <v>17572</v>
      </c>
      <c r="G4" s="123" t="s">
        <v>149</v>
      </c>
      <c r="H4" s="23">
        <f>C4/E4</f>
        <v>0.24100842249032553</v>
      </c>
    </row>
    <row r="5" spans="1:11" x14ac:dyDescent="0.2">
      <c r="A5" s="41" t="s">
        <v>229</v>
      </c>
      <c r="B5" s="121" t="s">
        <v>51</v>
      </c>
      <c r="C5" s="148">
        <v>1755</v>
      </c>
      <c r="D5" s="148">
        <v>53563</v>
      </c>
      <c r="E5">
        <f>C5+D5</f>
        <v>55318</v>
      </c>
      <c r="G5" s="123" t="s">
        <v>150</v>
      </c>
      <c r="H5" s="23">
        <f>D5/E5</f>
        <v>0.96827434108246868</v>
      </c>
    </row>
    <row r="6" spans="1:11" x14ac:dyDescent="0.2">
      <c r="C6">
        <f>C4+C5</f>
        <v>5990</v>
      </c>
      <c r="D6">
        <f>D4+D5</f>
        <v>66900</v>
      </c>
      <c r="E6">
        <f>C6+D6</f>
        <v>72890</v>
      </c>
    </row>
    <row r="7" spans="1:11" x14ac:dyDescent="0.2">
      <c r="C7" s="122"/>
      <c r="D7" s="122"/>
    </row>
    <row r="8" spans="1:11" x14ac:dyDescent="0.2">
      <c r="C8" s="41" t="s">
        <v>147</v>
      </c>
      <c r="D8" s="41" t="s">
        <v>148</v>
      </c>
    </row>
    <row r="9" spans="1:11" x14ac:dyDescent="0.2">
      <c r="C9" s="23">
        <f>C4/C6</f>
        <v>0.70701168614357257</v>
      </c>
      <c r="D9" s="23">
        <f>D5/D6</f>
        <v>0.80064275037369204</v>
      </c>
    </row>
  </sheetData>
  <mergeCells count="2">
    <mergeCell ref="C2:D2"/>
    <mergeCell ref="A1:F1"/>
  </mergeCells>
  <phoneticPr fontId="0" type="noConversion"/>
  <hyperlinks>
    <hyperlink ref="K1" location="'Main Menu'!A1" display="Main Menu"/>
  </hyperlinks>
  <pageMargins left="0.75" right="0.75" top="1" bottom="1" header="0.5" footer="0.5"/>
  <pageSetup orientation="portrait" verticalDpi="0"/>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workbookViewId="0">
      <selection activeCell="E18" sqref="E18"/>
    </sheetView>
  </sheetViews>
  <sheetFormatPr defaultColWidth="8.7109375" defaultRowHeight="12.75" x14ac:dyDescent="0.2"/>
  <cols>
    <col min="1" max="1" width="17.7109375" customWidth="1"/>
    <col min="2" max="2" width="12.42578125" bestFit="1" customWidth="1"/>
    <col min="8" max="8" width="10.42578125" customWidth="1"/>
    <col min="9" max="9" width="14.7109375" customWidth="1"/>
  </cols>
  <sheetData>
    <row r="1" spans="1:11" ht="51" customHeight="1" x14ac:dyDescent="0.2">
      <c r="H1" s="522" t="s">
        <v>255</v>
      </c>
      <c r="I1" s="522"/>
      <c r="J1" s="522"/>
      <c r="K1" s="144" t="s">
        <v>179</v>
      </c>
    </row>
    <row r="3" spans="1:11" x14ac:dyDescent="0.2">
      <c r="A3" s="59" t="s">
        <v>113</v>
      </c>
      <c r="B3" s="43">
        <f>COUNT(B15:B26)</f>
        <v>12</v>
      </c>
      <c r="E3" s="59" t="s">
        <v>96</v>
      </c>
      <c r="F3" s="43">
        <f>MEDIAN(B15:B26)</f>
        <v>19</v>
      </c>
    </row>
    <row r="4" spans="1:11" x14ac:dyDescent="0.2">
      <c r="A4" s="59" t="s">
        <v>71</v>
      </c>
      <c r="B4" s="42">
        <f>AVERAGE(B15:B26)</f>
        <v>17.833333333333332</v>
      </c>
      <c r="E4" s="59" t="s">
        <v>238</v>
      </c>
      <c r="F4" s="43">
        <f>MODE(B15:B26)</f>
        <v>17</v>
      </c>
    </row>
    <row r="5" spans="1:11" x14ac:dyDescent="0.2">
      <c r="A5" s="59" t="s">
        <v>282</v>
      </c>
      <c r="B5" s="42">
        <f>STDEV(B15:B26)</f>
        <v>4.8021459849327828</v>
      </c>
      <c r="E5" s="59" t="s">
        <v>239</v>
      </c>
      <c r="F5" s="43">
        <f>MIN(B15:B26)</f>
        <v>7</v>
      </c>
    </row>
    <row r="6" spans="1:11" x14ac:dyDescent="0.2">
      <c r="A6" s="59" t="s">
        <v>231</v>
      </c>
      <c r="B6" s="42">
        <f>B5/(SQRT(COUNT(B15:B26)))</f>
        <v>1.3862601385444113</v>
      </c>
      <c r="E6" s="59" t="s">
        <v>240</v>
      </c>
      <c r="F6" s="43">
        <f>MAX(B15:B26)</f>
        <v>23</v>
      </c>
    </row>
    <row r="7" spans="1:11" x14ac:dyDescent="0.2">
      <c r="A7" s="59" t="s">
        <v>234</v>
      </c>
      <c r="B7" s="42">
        <f>TINV(0.05,B16-1)</f>
        <v>2.119905299221255</v>
      </c>
      <c r="C7" s="2"/>
      <c r="D7" s="199"/>
    </row>
    <row r="8" spans="1:11" x14ac:dyDescent="0.2">
      <c r="A8" s="59" t="s">
        <v>235</v>
      </c>
      <c r="B8" s="42">
        <f>B7*B6</f>
        <v>2.9387402137994889</v>
      </c>
    </row>
    <row r="9" spans="1:11" x14ac:dyDescent="0.2">
      <c r="A9" s="59"/>
      <c r="B9" s="199"/>
    </row>
    <row r="10" spans="1:11" x14ac:dyDescent="0.2">
      <c r="A10" s="22" t="s">
        <v>241</v>
      </c>
      <c r="B10" s="199"/>
    </row>
    <row r="11" spans="1:11" x14ac:dyDescent="0.2">
      <c r="A11" s="59" t="s">
        <v>232</v>
      </c>
      <c r="B11" s="42">
        <f>CONFIDENCE(0.05,B5,COUNT(B15:B26))</f>
        <v>2.7170199447505512</v>
      </c>
      <c r="C11" t="s">
        <v>236</v>
      </c>
    </row>
    <row r="12" spans="1:11" x14ac:dyDescent="0.2">
      <c r="A12" s="198" t="s">
        <v>233</v>
      </c>
      <c r="B12" s="42">
        <f>B6*1.96</f>
        <v>2.717069871547046</v>
      </c>
      <c r="C12" t="s">
        <v>237</v>
      </c>
    </row>
    <row r="13" spans="1:11" x14ac:dyDescent="0.2">
      <c r="A13" s="198"/>
      <c r="B13" s="42"/>
    </row>
    <row r="14" spans="1:11" x14ac:dyDescent="0.2">
      <c r="B14" s="22" t="s">
        <v>243</v>
      </c>
    </row>
    <row r="15" spans="1:11" x14ac:dyDescent="0.2">
      <c r="B15" s="119">
        <v>14</v>
      </c>
    </row>
    <row r="16" spans="1:11" x14ac:dyDescent="0.2">
      <c r="B16" s="119">
        <v>17</v>
      </c>
    </row>
    <row r="17" spans="2:2" x14ac:dyDescent="0.2">
      <c r="B17" s="119">
        <v>22</v>
      </c>
    </row>
    <row r="18" spans="2:2" x14ac:dyDescent="0.2">
      <c r="B18" s="119">
        <v>18</v>
      </c>
    </row>
    <row r="19" spans="2:2" x14ac:dyDescent="0.2">
      <c r="B19" s="119">
        <v>22</v>
      </c>
    </row>
    <row r="20" spans="2:2" x14ac:dyDescent="0.2">
      <c r="B20" s="119">
        <v>17</v>
      </c>
    </row>
    <row r="21" spans="2:2" x14ac:dyDescent="0.2">
      <c r="B21" s="119">
        <v>12</v>
      </c>
    </row>
    <row r="22" spans="2:2" x14ac:dyDescent="0.2">
      <c r="B22" s="119">
        <v>7</v>
      </c>
    </row>
    <row r="23" spans="2:2" x14ac:dyDescent="0.2">
      <c r="B23" s="119">
        <v>20</v>
      </c>
    </row>
    <row r="24" spans="2:2" x14ac:dyDescent="0.2">
      <c r="B24" s="119">
        <v>21</v>
      </c>
    </row>
    <row r="25" spans="2:2" x14ac:dyDescent="0.2">
      <c r="B25" s="119">
        <v>21</v>
      </c>
    </row>
    <row r="26" spans="2:2" x14ac:dyDescent="0.2">
      <c r="B26" s="119">
        <v>23</v>
      </c>
    </row>
  </sheetData>
  <mergeCells count="1">
    <mergeCell ref="H1:J1"/>
  </mergeCells>
  <phoneticPr fontId="43" type="noConversion"/>
  <hyperlinks>
    <hyperlink ref="K1" location="'Main Menu'!A1" display="Main Menu"/>
  </hyperlinks>
  <pageMargins left="0.75" right="0.75" top="1" bottom="1" header="0.5" footer="0.5"/>
  <pageSetup orientation="portrait" verticalDpi="0"/>
  <headerFooter alignWithMargins="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1"/>
  <sheetViews>
    <sheetView workbookViewId="0">
      <selection activeCell="I1" sqref="I1:K1"/>
    </sheetView>
  </sheetViews>
  <sheetFormatPr defaultColWidth="8.7109375" defaultRowHeight="12.75" x14ac:dyDescent="0.2"/>
  <cols>
    <col min="4" max="4" width="8.7109375" customWidth="1"/>
    <col min="5" max="6" width="11.140625" customWidth="1"/>
  </cols>
  <sheetData>
    <row r="1" spans="1:13" ht="33" customHeight="1" x14ac:dyDescent="0.2">
      <c r="G1" s="143" t="s">
        <v>179</v>
      </c>
      <c r="I1" s="523" t="s">
        <v>255</v>
      </c>
      <c r="J1" s="523"/>
      <c r="K1" s="523"/>
    </row>
    <row r="2" spans="1:13" ht="58.5" customHeight="1" x14ac:dyDescent="0.2">
      <c r="A2" s="527" t="s">
        <v>98</v>
      </c>
      <c r="B2" s="442"/>
      <c r="C2" s="442"/>
      <c r="D2" s="442"/>
      <c r="E2" s="442"/>
      <c r="F2" s="442"/>
      <c r="G2" s="442"/>
      <c r="H2" s="442"/>
      <c r="I2" s="442"/>
      <c r="J2" s="442"/>
      <c r="K2" s="442"/>
      <c r="L2" s="442"/>
      <c r="M2" s="528"/>
    </row>
    <row r="3" spans="1:13" ht="29.25" customHeight="1" x14ac:dyDescent="0.2">
      <c r="A3" s="524" t="s">
        <v>256</v>
      </c>
      <c r="B3" s="525"/>
      <c r="C3" s="525"/>
      <c r="D3" s="526"/>
    </row>
    <row r="5" spans="1:13" x14ac:dyDescent="0.2">
      <c r="A5" s="471" t="s">
        <v>55</v>
      </c>
      <c r="B5" s="471"/>
    </row>
    <row r="6" spans="1:13" x14ac:dyDescent="0.2">
      <c r="A6" s="40" t="s">
        <v>56</v>
      </c>
      <c r="B6" s="40" t="s">
        <v>57</v>
      </c>
    </row>
    <row r="7" spans="1:13" x14ac:dyDescent="0.2">
      <c r="A7" s="53">
        <v>3</v>
      </c>
      <c r="B7" s="53">
        <v>3</v>
      </c>
    </row>
    <row r="8" spans="1:13" x14ac:dyDescent="0.2">
      <c r="A8" s="53">
        <v>12</v>
      </c>
      <c r="B8" s="53">
        <v>1</v>
      </c>
    </row>
    <row r="9" spans="1:13" x14ac:dyDescent="0.2">
      <c r="A9" s="53">
        <v>2</v>
      </c>
      <c r="B9" s="53">
        <v>1</v>
      </c>
    </row>
    <row r="10" spans="1:13" x14ac:dyDescent="0.2">
      <c r="A10" s="53">
        <v>1</v>
      </c>
      <c r="B10" s="53">
        <v>5</v>
      </c>
    </row>
    <row r="11" spans="1:13" x14ac:dyDescent="0.2">
      <c r="A11" s="53">
        <v>11</v>
      </c>
      <c r="B11" s="53">
        <v>1</v>
      </c>
    </row>
    <row r="12" spans="1:13" x14ac:dyDescent="0.2">
      <c r="A12" s="53">
        <v>4</v>
      </c>
      <c r="B12" s="53">
        <v>6</v>
      </c>
    </row>
    <row r="13" spans="1:13" x14ac:dyDescent="0.2">
      <c r="A13" s="53">
        <v>2</v>
      </c>
      <c r="B13" s="53">
        <v>1</v>
      </c>
    </row>
    <row r="14" spans="1:13" x14ac:dyDescent="0.2">
      <c r="A14" s="53">
        <v>2</v>
      </c>
      <c r="B14" s="53">
        <v>5</v>
      </c>
    </row>
    <row r="15" spans="1:13" x14ac:dyDescent="0.2">
      <c r="A15" s="53">
        <v>3</v>
      </c>
      <c r="B15" s="53">
        <v>2</v>
      </c>
    </row>
    <row r="16" spans="1:13" x14ac:dyDescent="0.2">
      <c r="A16" s="53">
        <v>1</v>
      </c>
      <c r="B16" s="53">
        <v>3</v>
      </c>
    </row>
    <row r="17" spans="1:7" x14ac:dyDescent="0.2">
      <c r="A17" s="53">
        <v>8</v>
      </c>
      <c r="B17" s="53">
        <v>3</v>
      </c>
    </row>
    <row r="18" spans="1:7" x14ac:dyDescent="0.2">
      <c r="A18" s="53">
        <v>2</v>
      </c>
      <c r="B18" s="53">
        <v>1</v>
      </c>
    </row>
    <row r="19" spans="1:7" x14ac:dyDescent="0.2">
      <c r="A19" s="53">
        <v>3</v>
      </c>
      <c r="B19" s="53">
        <v>5</v>
      </c>
    </row>
    <row r="20" spans="1:7" x14ac:dyDescent="0.2">
      <c r="A20" s="53">
        <v>6</v>
      </c>
      <c r="B20" s="53">
        <v>2</v>
      </c>
    </row>
    <row r="21" spans="1:7" x14ac:dyDescent="0.2">
      <c r="A21" s="53">
        <v>1</v>
      </c>
      <c r="B21" s="53">
        <v>2</v>
      </c>
    </row>
    <row r="22" spans="1:7" x14ac:dyDescent="0.2">
      <c r="A22" s="53">
        <v>13</v>
      </c>
      <c r="B22" s="53">
        <v>2</v>
      </c>
    </row>
    <row r="23" spans="1:7" x14ac:dyDescent="0.2">
      <c r="A23" s="53">
        <v>3</v>
      </c>
      <c r="B23" s="53">
        <v>3</v>
      </c>
    </row>
    <row r="24" spans="1:7" x14ac:dyDescent="0.2">
      <c r="A24" s="53">
        <v>8</v>
      </c>
      <c r="B24" s="53">
        <v>3</v>
      </c>
    </row>
    <row r="25" spans="1:7" x14ac:dyDescent="0.2">
      <c r="A25" s="53">
        <v>10</v>
      </c>
      <c r="B25" s="53">
        <v>7</v>
      </c>
    </row>
    <row r="26" spans="1:7" x14ac:dyDescent="0.2">
      <c r="A26" s="53">
        <v>6</v>
      </c>
      <c r="B26" s="53">
        <v>3</v>
      </c>
    </row>
    <row r="27" spans="1:7" x14ac:dyDescent="0.2">
      <c r="A27" s="53">
        <v>4</v>
      </c>
      <c r="B27" s="53">
        <v>4</v>
      </c>
    </row>
    <row r="28" spans="1:7" x14ac:dyDescent="0.2">
      <c r="A28" s="53">
        <v>12</v>
      </c>
      <c r="B28" s="53">
        <v>1</v>
      </c>
    </row>
    <row r="29" spans="1:7" x14ac:dyDescent="0.2">
      <c r="A29" s="53">
        <v>9</v>
      </c>
      <c r="B29" s="53">
        <v>3</v>
      </c>
      <c r="G29" s="49"/>
    </row>
    <row r="30" spans="1:7" x14ac:dyDescent="0.2">
      <c r="A30" s="53">
        <v>7</v>
      </c>
      <c r="B30" s="53">
        <v>3</v>
      </c>
      <c r="G30" s="49"/>
    </row>
    <row r="31" spans="1:7" x14ac:dyDescent="0.2">
      <c r="A31" s="53">
        <v>1</v>
      </c>
      <c r="B31" s="53">
        <v>2</v>
      </c>
      <c r="G31" s="49"/>
    </row>
    <row r="32" spans="1:7" x14ac:dyDescent="0.2">
      <c r="A32" s="53">
        <v>3</v>
      </c>
      <c r="B32" s="53">
        <v>2</v>
      </c>
      <c r="G32" s="49"/>
    </row>
    <row r="33" spans="1:6" x14ac:dyDescent="0.2">
      <c r="A33" s="53">
        <v>3</v>
      </c>
      <c r="B33" s="53">
        <v>2</v>
      </c>
    </row>
    <row r="34" spans="1:6" x14ac:dyDescent="0.2">
      <c r="A34" s="53">
        <v>2</v>
      </c>
      <c r="B34" s="53">
        <v>4</v>
      </c>
    </row>
    <row r="35" spans="1:6" x14ac:dyDescent="0.2">
      <c r="A35" s="42">
        <f>AVERAGE(A7:A34)</f>
        <v>5.0714285714285712</v>
      </c>
      <c r="B35" s="42">
        <f>AVERAGE(B7:B34)</f>
        <v>2.8571428571428572</v>
      </c>
      <c r="C35" s="43"/>
    </row>
    <row r="40" spans="1:6" x14ac:dyDescent="0.2">
      <c r="C40" t="s">
        <v>59</v>
      </c>
    </row>
    <row r="41" spans="1:6" x14ac:dyDescent="0.2">
      <c r="A41" s="471" t="s">
        <v>55</v>
      </c>
      <c r="B41" s="471"/>
    </row>
    <row r="42" spans="1:6" x14ac:dyDescent="0.2">
      <c r="A42" s="40" t="s">
        <v>56</v>
      </c>
      <c r="B42" s="40" t="s">
        <v>57</v>
      </c>
    </row>
    <row r="43" spans="1:6" x14ac:dyDescent="0.2">
      <c r="A43" s="53">
        <v>1</v>
      </c>
      <c r="B43" s="53">
        <v>1</v>
      </c>
      <c r="C43" s="58"/>
      <c r="D43" s="58"/>
      <c r="E43" s="58"/>
    </row>
    <row r="44" spans="1:6" x14ac:dyDescent="0.2">
      <c r="A44" s="53">
        <v>1</v>
      </c>
      <c r="B44" s="53">
        <v>1</v>
      </c>
      <c r="C44" s="58"/>
      <c r="D44" s="58"/>
      <c r="E44" s="58"/>
    </row>
    <row r="45" spans="1:6" x14ac:dyDescent="0.2">
      <c r="A45" s="53">
        <v>1</v>
      </c>
      <c r="B45" s="53">
        <v>1</v>
      </c>
    </row>
    <row r="46" spans="1:6" x14ac:dyDescent="0.2">
      <c r="A46" s="53">
        <v>1</v>
      </c>
      <c r="B46" s="53">
        <v>1</v>
      </c>
    </row>
    <row r="47" spans="1:6" ht="12.75" customHeight="1" x14ac:dyDescent="0.2">
      <c r="A47" s="53">
        <v>2</v>
      </c>
      <c r="B47" s="53">
        <v>1</v>
      </c>
      <c r="D47" s="22" t="s">
        <v>99</v>
      </c>
    </row>
    <row r="48" spans="1:6" x14ac:dyDescent="0.2">
      <c r="A48" s="53">
        <v>2</v>
      </c>
      <c r="B48" s="53">
        <v>1</v>
      </c>
      <c r="D48" s="41"/>
      <c r="E48" s="44" t="s">
        <v>60</v>
      </c>
      <c r="F48" s="44" t="s">
        <v>60</v>
      </c>
    </row>
    <row r="49" spans="1:6" x14ac:dyDescent="0.2">
      <c r="A49" s="53">
        <v>2</v>
      </c>
      <c r="B49" s="53">
        <v>2</v>
      </c>
      <c r="D49" s="41" t="s">
        <v>55</v>
      </c>
      <c r="E49" s="41" t="s">
        <v>61</v>
      </c>
      <c r="F49" s="41" t="s">
        <v>62</v>
      </c>
    </row>
    <row r="50" spans="1:6" x14ac:dyDescent="0.2">
      <c r="A50" s="53">
        <v>2</v>
      </c>
      <c r="B50" s="53">
        <v>2</v>
      </c>
      <c r="D50">
        <v>1</v>
      </c>
      <c r="E50">
        <v>4</v>
      </c>
      <c r="F50">
        <v>6</v>
      </c>
    </row>
    <row r="51" spans="1:6" x14ac:dyDescent="0.2">
      <c r="A51" s="53">
        <v>2</v>
      </c>
      <c r="B51" s="53">
        <v>2</v>
      </c>
      <c r="D51">
        <v>2</v>
      </c>
      <c r="E51">
        <v>5</v>
      </c>
      <c r="F51">
        <v>7</v>
      </c>
    </row>
    <row r="52" spans="1:6" x14ac:dyDescent="0.2">
      <c r="A52" s="53">
        <v>3</v>
      </c>
      <c r="B52" s="53">
        <v>2</v>
      </c>
      <c r="D52">
        <v>3</v>
      </c>
      <c r="E52">
        <v>6</v>
      </c>
      <c r="F52">
        <v>8</v>
      </c>
    </row>
    <row r="53" spans="1:6" x14ac:dyDescent="0.2">
      <c r="A53" s="53">
        <v>3</v>
      </c>
      <c r="B53" s="53">
        <v>2</v>
      </c>
      <c r="D53">
        <v>4</v>
      </c>
      <c r="E53">
        <v>2</v>
      </c>
      <c r="F53">
        <v>2</v>
      </c>
    </row>
    <row r="54" spans="1:6" x14ac:dyDescent="0.2">
      <c r="A54" s="53">
        <v>3</v>
      </c>
      <c r="B54" s="53">
        <v>2</v>
      </c>
      <c r="D54">
        <v>5</v>
      </c>
      <c r="E54">
        <v>0</v>
      </c>
      <c r="F54">
        <v>3</v>
      </c>
    </row>
    <row r="55" spans="1:6" x14ac:dyDescent="0.2">
      <c r="A55" s="53">
        <v>3</v>
      </c>
      <c r="B55" s="53">
        <v>2</v>
      </c>
      <c r="D55">
        <v>6</v>
      </c>
      <c r="E55">
        <v>2</v>
      </c>
      <c r="F55">
        <v>1</v>
      </c>
    </row>
    <row r="56" spans="1:6" x14ac:dyDescent="0.2">
      <c r="A56" s="53">
        <v>3</v>
      </c>
      <c r="B56" s="53">
        <v>3</v>
      </c>
      <c r="D56">
        <v>7</v>
      </c>
      <c r="E56">
        <v>1</v>
      </c>
      <c r="F56">
        <v>1</v>
      </c>
    </row>
    <row r="57" spans="1:6" x14ac:dyDescent="0.2">
      <c r="A57" s="53">
        <v>3</v>
      </c>
      <c r="B57" s="53">
        <v>3</v>
      </c>
      <c r="D57">
        <v>8</v>
      </c>
      <c r="E57">
        <v>2</v>
      </c>
      <c r="F57">
        <v>0</v>
      </c>
    </row>
    <row r="58" spans="1:6" x14ac:dyDescent="0.2">
      <c r="A58" s="53">
        <v>4</v>
      </c>
      <c r="B58" s="53">
        <v>3</v>
      </c>
      <c r="D58">
        <v>9</v>
      </c>
      <c r="E58">
        <v>1</v>
      </c>
      <c r="F58">
        <v>0</v>
      </c>
    </row>
    <row r="59" spans="1:6" x14ac:dyDescent="0.2">
      <c r="A59" s="53">
        <v>4</v>
      </c>
      <c r="B59" s="53">
        <v>3</v>
      </c>
      <c r="D59">
        <v>10</v>
      </c>
      <c r="E59">
        <v>1</v>
      </c>
      <c r="F59">
        <v>0</v>
      </c>
    </row>
    <row r="60" spans="1:6" x14ac:dyDescent="0.2">
      <c r="A60" s="53">
        <v>6</v>
      </c>
      <c r="B60" s="53">
        <v>3</v>
      </c>
      <c r="D60">
        <v>11</v>
      </c>
      <c r="E60">
        <v>1</v>
      </c>
      <c r="F60">
        <v>0</v>
      </c>
    </row>
    <row r="61" spans="1:6" x14ac:dyDescent="0.2">
      <c r="A61" s="53">
        <v>6</v>
      </c>
      <c r="B61" s="53">
        <v>3</v>
      </c>
      <c r="D61">
        <v>12</v>
      </c>
      <c r="E61">
        <v>2</v>
      </c>
      <c r="F61">
        <v>0</v>
      </c>
    </row>
    <row r="62" spans="1:6" x14ac:dyDescent="0.2">
      <c r="A62" s="53">
        <v>7</v>
      </c>
      <c r="B62" s="53">
        <v>3</v>
      </c>
      <c r="D62">
        <v>13</v>
      </c>
      <c r="E62">
        <v>1</v>
      </c>
      <c r="F62">
        <v>0</v>
      </c>
    </row>
    <row r="63" spans="1:6" x14ac:dyDescent="0.2">
      <c r="A63" s="53">
        <v>8</v>
      </c>
      <c r="B63" s="53">
        <v>3</v>
      </c>
      <c r="D63">
        <v>14</v>
      </c>
      <c r="E63">
        <v>0</v>
      </c>
      <c r="F63">
        <v>0</v>
      </c>
    </row>
    <row r="64" spans="1:6" x14ac:dyDescent="0.2">
      <c r="A64" s="53">
        <v>8</v>
      </c>
      <c r="B64" s="53">
        <v>4</v>
      </c>
      <c r="D64">
        <v>15</v>
      </c>
      <c r="E64">
        <v>0</v>
      </c>
      <c r="F64">
        <v>0</v>
      </c>
    </row>
    <row r="65" spans="1:6" x14ac:dyDescent="0.2">
      <c r="A65" s="53">
        <v>9</v>
      </c>
      <c r="B65" s="53">
        <v>4</v>
      </c>
      <c r="D65" t="s">
        <v>63</v>
      </c>
      <c r="E65">
        <f>SUM(E50:E64)</f>
        <v>28</v>
      </c>
      <c r="F65">
        <f>SUM(F50:F64)</f>
        <v>28</v>
      </c>
    </row>
    <row r="66" spans="1:6" x14ac:dyDescent="0.2">
      <c r="A66" s="53">
        <v>10</v>
      </c>
      <c r="B66" s="53">
        <v>5</v>
      </c>
    </row>
    <row r="67" spans="1:6" x14ac:dyDescent="0.2">
      <c r="A67" s="53">
        <v>11</v>
      </c>
      <c r="B67" s="53">
        <v>5</v>
      </c>
    </row>
    <row r="68" spans="1:6" x14ac:dyDescent="0.2">
      <c r="A68" s="53">
        <v>12</v>
      </c>
      <c r="B68" s="53">
        <v>5</v>
      </c>
    </row>
    <row r="69" spans="1:6" x14ac:dyDescent="0.2">
      <c r="A69" s="53">
        <v>12</v>
      </c>
      <c r="B69" s="53">
        <v>6</v>
      </c>
    </row>
    <row r="70" spans="1:6" x14ac:dyDescent="0.2">
      <c r="A70" s="53">
        <v>13</v>
      </c>
      <c r="B70" s="53">
        <v>7</v>
      </c>
    </row>
    <row r="71" spans="1:6" x14ac:dyDescent="0.2">
      <c r="A71" s="42">
        <f>AVERAGE(A43:A70)</f>
        <v>5.0714285714285712</v>
      </c>
      <c r="B71" s="42">
        <f>AVERAGE(B43:B70)</f>
        <v>2.8571428571428572</v>
      </c>
      <c r="C71" s="59" t="s">
        <v>71</v>
      </c>
    </row>
    <row r="72" spans="1:6" x14ac:dyDescent="0.2">
      <c r="A72" s="42">
        <f>VAR(A43:A70)</f>
        <v>14.735449735449736</v>
      </c>
      <c r="B72" s="42">
        <f>VAR(B43:B70)</f>
        <v>2.5714285714285712</v>
      </c>
      <c r="C72" s="59" t="s">
        <v>64</v>
      </c>
    </row>
    <row r="73" spans="1:6" x14ac:dyDescent="0.2">
      <c r="A73" s="42">
        <f>STDEV(A43:A70)</f>
        <v>3.8386781234494949</v>
      </c>
      <c r="B73" s="42">
        <f>STDEV(B43:B70)</f>
        <v>1.6035674514745462</v>
      </c>
      <c r="C73" s="59" t="s">
        <v>95</v>
      </c>
    </row>
    <row r="75" spans="1:6" x14ac:dyDescent="0.2">
      <c r="A75" s="43">
        <f>MEDIAN(A43:A70)</f>
        <v>3</v>
      </c>
      <c r="B75" s="43">
        <f>MEDIAN(B43:B70)</f>
        <v>3</v>
      </c>
      <c r="C75" s="60" t="s">
        <v>96</v>
      </c>
    </row>
    <row r="80" spans="1:6" x14ac:dyDescent="0.2">
      <c r="D80" s="2"/>
    </row>
    <row r="81" spans="4:4" x14ac:dyDescent="0.2">
      <c r="D81" s="2"/>
    </row>
    <row r="82" spans="4:4" x14ac:dyDescent="0.2">
      <c r="D82" s="2"/>
    </row>
    <row r="83" spans="4:4" x14ac:dyDescent="0.2">
      <c r="D83" s="2"/>
    </row>
    <row r="84" spans="4:4" x14ac:dyDescent="0.2">
      <c r="D84" s="2"/>
    </row>
    <row r="85" spans="4:4" x14ac:dyDescent="0.2">
      <c r="D85" s="2"/>
    </row>
    <row r="86" spans="4:4" x14ac:dyDescent="0.2">
      <c r="D86" s="2"/>
    </row>
    <row r="87" spans="4:4" x14ac:dyDescent="0.2">
      <c r="D87" s="2"/>
    </row>
    <row r="88" spans="4:4" x14ac:dyDescent="0.2">
      <c r="D88" s="2"/>
    </row>
    <row r="90" spans="4:4" x14ac:dyDescent="0.2">
      <c r="D90" s="2"/>
    </row>
    <row r="91" spans="4:4" x14ac:dyDescent="0.2">
      <c r="D91" s="2"/>
    </row>
  </sheetData>
  <sheetProtection password="C774" sheet="1" objects="1" scenarios="1"/>
  <mergeCells count="5">
    <mergeCell ref="I1:K1"/>
    <mergeCell ref="A5:B5"/>
    <mergeCell ref="A3:D3"/>
    <mergeCell ref="A41:B41"/>
    <mergeCell ref="A2:M2"/>
  </mergeCells>
  <phoneticPr fontId="0" type="noConversion"/>
  <hyperlinks>
    <hyperlink ref="G1" location="'Main Menu'!A1" display="Main Menu"/>
  </hyperlinks>
  <pageMargins left="0.75" right="0.75" top="1" bottom="1" header="0.5" footer="0.5"/>
  <pageSetup orientation="portrait" horizontalDpi="300" verticalDpi="300"/>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workbookViewId="0">
      <selection activeCell="O7" sqref="O7"/>
    </sheetView>
  </sheetViews>
  <sheetFormatPr defaultColWidth="8.7109375" defaultRowHeight="12.75" x14ac:dyDescent="0.2"/>
  <cols>
    <col min="1" max="1" width="16.28515625" customWidth="1"/>
    <col min="4" max="4" width="9.5703125" customWidth="1"/>
    <col min="13" max="13" width="10.28515625" customWidth="1"/>
  </cols>
  <sheetData>
    <row r="1" spans="1:13" ht="23.25" customHeight="1" x14ac:dyDescent="0.2">
      <c r="A1" s="343" t="s">
        <v>392</v>
      </c>
      <c r="M1" s="146" t="s">
        <v>179</v>
      </c>
    </row>
    <row r="2" spans="1:13" x14ac:dyDescent="0.2">
      <c r="A2">
        <v>1</v>
      </c>
      <c r="B2" s="124" t="s">
        <v>151</v>
      </c>
      <c r="D2" s="125" t="s">
        <v>152</v>
      </c>
      <c r="E2" s="22" t="s">
        <v>153</v>
      </c>
      <c r="G2" s="125" t="s">
        <v>152</v>
      </c>
      <c r="H2" s="22" t="s">
        <v>153</v>
      </c>
    </row>
    <row r="3" spans="1:13" x14ac:dyDescent="0.2">
      <c r="A3">
        <v>2</v>
      </c>
      <c r="B3" s="126">
        <v>38231</v>
      </c>
      <c r="D3" s="128">
        <v>38456</v>
      </c>
      <c r="E3" s="129">
        <v>1</v>
      </c>
      <c r="G3" s="127">
        <v>38231</v>
      </c>
      <c r="H3">
        <v>1</v>
      </c>
    </row>
    <row r="4" spans="1:13" x14ac:dyDescent="0.2">
      <c r="A4">
        <v>3</v>
      </c>
      <c r="B4" s="126">
        <v>38315</v>
      </c>
      <c r="D4" s="130">
        <v>38470</v>
      </c>
      <c r="E4" s="131">
        <v>1</v>
      </c>
      <c r="G4" s="127">
        <v>38315</v>
      </c>
      <c r="H4">
        <v>1</v>
      </c>
    </row>
    <row r="5" spans="1:13" x14ac:dyDescent="0.2">
      <c r="A5">
        <v>4</v>
      </c>
      <c r="B5" s="126">
        <v>38336</v>
      </c>
      <c r="D5" s="132">
        <v>38471</v>
      </c>
      <c r="E5" s="131">
        <v>2</v>
      </c>
      <c r="G5" s="127">
        <v>38336</v>
      </c>
      <c r="H5">
        <v>1</v>
      </c>
    </row>
    <row r="6" spans="1:13" x14ac:dyDescent="0.2">
      <c r="A6">
        <v>5</v>
      </c>
      <c r="B6" s="126">
        <v>38385</v>
      </c>
      <c r="D6" s="132">
        <v>38502</v>
      </c>
      <c r="E6" s="45">
        <v>2</v>
      </c>
      <c r="G6" s="133">
        <v>38385</v>
      </c>
      <c r="H6" s="119">
        <v>1</v>
      </c>
    </row>
    <row r="7" spans="1:13" x14ac:dyDescent="0.2">
      <c r="A7">
        <v>6</v>
      </c>
      <c r="B7" s="126">
        <v>38393</v>
      </c>
      <c r="D7" s="132">
        <v>38473</v>
      </c>
      <c r="E7" s="45">
        <v>1</v>
      </c>
      <c r="G7" s="133">
        <v>38393</v>
      </c>
      <c r="H7" s="119">
        <v>1</v>
      </c>
    </row>
    <row r="8" spans="1:13" x14ac:dyDescent="0.2">
      <c r="A8">
        <v>7</v>
      </c>
      <c r="B8" s="126">
        <v>38426</v>
      </c>
      <c r="D8" s="132">
        <v>38474</v>
      </c>
      <c r="E8" s="45">
        <v>2</v>
      </c>
      <c r="G8" s="133">
        <v>38426</v>
      </c>
      <c r="H8" s="119">
        <v>1</v>
      </c>
    </row>
    <row r="9" spans="1:13" x14ac:dyDescent="0.2">
      <c r="A9">
        <v>8</v>
      </c>
      <c r="B9" s="134">
        <v>38456</v>
      </c>
      <c r="D9" s="132">
        <f>D8+1</f>
        <v>38475</v>
      </c>
      <c r="E9" s="45">
        <v>0</v>
      </c>
      <c r="G9" s="341">
        <v>38456</v>
      </c>
      <c r="H9" s="119">
        <v>1</v>
      </c>
    </row>
    <row r="10" spans="1:13" x14ac:dyDescent="0.2">
      <c r="A10">
        <v>9</v>
      </c>
      <c r="B10" s="135">
        <v>38470</v>
      </c>
      <c r="D10" s="132">
        <f t="shared" ref="D10:D51" si="0">D9+1</f>
        <v>38476</v>
      </c>
      <c r="E10" s="131">
        <v>4</v>
      </c>
      <c r="G10" s="342">
        <v>38470</v>
      </c>
      <c r="H10" s="147">
        <f>SUM(E4:E7)</f>
        <v>6</v>
      </c>
    </row>
    <row r="11" spans="1:13" x14ac:dyDescent="0.2">
      <c r="A11">
        <v>10</v>
      </c>
      <c r="B11" s="135">
        <v>38471</v>
      </c>
      <c r="D11" s="132">
        <f t="shared" si="0"/>
        <v>38477</v>
      </c>
      <c r="E11" s="45">
        <v>3</v>
      </c>
      <c r="G11" s="136">
        <f>G10+4</f>
        <v>38474</v>
      </c>
      <c r="H11" s="147">
        <f>SUM(E8:E11)</f>
        <v>9</v>
      </c>
    </row>
    <row r="12" spans="1:13" x14ac:dyDescent="0.2">
      <c r="A12">
        <f>A11+1</f>
        <v>11</v>
      </c>
      <c r="B12" s="135">
        <v>38471</v>
      </c>
      <c r="D12" s="132">
        <f t="shared" si="0"/>
        <v>38478</v>
      </c>
      <c r="E12" s="45">
        <v>3</v>
      </c>
      <c r="G12" s="136">
        <f>G11+4</f>
        <v>38478</v>
      </c>
      <c r="H12" s="147">
        <f>SUM(E12:E15)</f>
        <v>14</v>
      </c>
    </row>
    <row r="13" spans="1:13" x14ac:dyDescent="0.2">
      <c r="A13">
        <f t="shared" ref="A13:A51" si="1">A12+1</f>
        <v>12</v>
      </c>
      <c r="B13" s="126">
        <v>38472</v>
      </c>
      <c r="D13" s="132">
        <f t="shared" si="0"/>
        <v>38479</v>
      </c>
      <c r="E13" s="45">
        <v>5</v>
      </c>
      <c r="G13" s="136">
        <f>G12+4</f>
        <v>38482</v>
      </c>
      <c r="H13" s="147">
        <f>SUM(E16:E19)</f>
        <v>11</v>
      </c>
    </row>
    <row r="14" spans="1:13" x14ac:dyDescent="0.2">
      <c r="A14">
        <f t="shared" si="1"/>
        <v>13</v>
      </c>
      <c r="B14" s="135">
        <v>38472</v>
      </c>
      <c r="D14" s="132">
        <f t="shared" si="0"/>
        <v>38480</v>
      </c>
      <c r="E14" s="45">
        <v>3</v>
      </c>
      <c r="G14" s="136">
        <f>G13+4</f>
        <v>38486</v>
      </c>
      <c r="H14" s="147">
        <f>SUM(E20:E23)</f>
        <v>7</v>
      </c>
    </row>
    <row r="15" spans="1:13" x14ac:dyDescent="0.2">
      <c r="A15">
        <f t="shared" si="1"/>
        <v>14</v>
      </c>
      <c r="B15" s="135">
        <v>38473</v>
      </c>
      <c r="D15" s="132">
        <f t="shared" si="0"/>
        <v>38481</v>
      </c>
      <c r="E15" s="45">
        <v>3</v>
      </c>
      <c r="G15" s="136">
        <f>G14+4</f>
        <v>38490</v>
      </c>
      <c r="H15" s="147">
        <f>SUM(E24:E27)</f>
        <v>4</v>
      </c>
    </row>
    <row r="16" spans="1:13" x14ac:dyDescent="0.2">
      <c r="A16">
        <f t="shared" si="1"/>
        <v>15</v>
      </c>
      <c r="B16" s="135">
        <v>38474</v>
      </c>
      <c r="D16" s="132">
        <f t="shared" si="0"/>
        <v>38482</v>
      </c>
      <c r="E16" s="45">
        <v>4</v>
      </c>
      <c r="G16" s="137"/>
      <c r="H16" s="45"/>
    </row>
    <row r="17" spans="1:8" x14ac:dyDescent="0.2">
      <c r="A17">
        <f t="shared" si="1"/>
        <v>16</v>
      </c>
      <c r="B17" s="135">
        <v>38474</v>
      </c>
      <c r="D17" s="132">
        <f t="shared" si="0"/>
        <v>38483</v>
      </c>
      <c r="E17" s="45">
        <v>2</v>
      </c>
      <c r="G17" s="137"/>
      <c r="H17" s="45"/>
    </row>
    <row r="18" spans="1:8" x14ac:dyDescent="0.2">
      <c r="A18">
        <f t="shared" si="1"/>
        <v>17</v>
      </c>
      <c r="B18" s="135">
        <v>38476</v>
      </c>
      <c r="D18" s="132">
        <f t="shared" si="0"/>
        <v>38484</v>
      </c>
      <c r="E18" s="45">
        <v>1</v>
      </c>
      <c r="G18" s="137"/>
      <c r="H18" s="45"/>
    </row>
    <row r="19" spans="1:8" x14ac:dyDescent="0.2">
      <c r="A19">
        <f t="shared" si="1"/>
        <v>18</v>
      </c>
      <c r="B19" s="135">
        <v>38476</v>
      </c>
      <c r="D19" s="132">
        <f t="shared" si="0"/>
        <v>38485</v>
      </c>
      <c r="E19" s="45">
        <v>4</v>
      </c>
      <c r="G19" s="137"/>
      <c r="H19" s="45"/>
    </row>
    <row r="20" spans="1:8" x14ac:dyDescent="0.2">
      <c r="A20">
        <f t="shared" si="1"/>
        <v>19</v>
      </c>
      <c r="B20" s="135">
        <v>38476</v>
      </c>
      <c r="D20" s="132">
        <f t="shared" si="0"/>
        <v>38486</v>
      </c>
      <c r="E20" s="45">
        <v>1</v>
      </c>
      <c r="G20" s="137"/>
      <c r="H20" s="45"/>
    </row>
    <row r="21" spans="1:8" x14ac:dyDescent="0.2">
      <c r="A21">
        <f t="shared" si="1"/>
        <v>20</v>
      </c>
      <c r="B21" s="135">
        <v>38476</v>
      </c>
      <c r="D21" s="132">
        <f t="shared" si="0"/>
        <v>38487</v>
      </c>
      <c r="E21" s="45">
        <v>3</v>
      </c>
      <c r="G21" s="137"/>
      <c r="H21" s="45"/>
    </row>
    <row r="22" spans="1:8" x14ac:dyDescent="0.2">
      <c r="A22">
        <f t="shared" si="1"/>
        <v>21</v>
      </c>
      <c r="B22" s="135">
        <v>38477</v>
      </c>
      <c r="D22" s="132">
        <f t="shared" si="0"/>
        <v>38488</v>
      </c>
      <c r="E22" s="45">
        <v>2</v>
      </c>
      <c r="G22" s="137"/>
      <c r="H22" s="45"/>
    </row>
    <row r="23" spans="1:8" x14ac:dyDescent="0.2">
      <c r="A23">
        <f t="shared" si="1"/>
        <v>22</v>
      </c>
      <c r="B23" s="135">
        <v>38477</v>
      </c>
      <c r="D23" s="132">
        <f t="shared" si="0"/>
        <v>38489</v>
      </c>
      <c r="E23" s="45">
        <v>1</v>
      </c>
      <c r="G23" s="137"/>
      <c r="H23" s="45"/>
    </row>
    <row r="24" spans="1:8" x14ac:dyDescent="0.2">
      <c r="A24">
        <f t="shared" si="1"/>
        <v>23</v>
      </c>
      <c r="B24" s="135">
        <v>38477</v>
      </c>
      <c r="D24" s="132">
        <f t="shared" si="0"/>
        <v>38490</v>
      </c>
      <c r="E24" s="45">
        <v>2</v>
      </c>
      <c r="G24" s="137"/>
      <c r="H24" s="45"/>
    </row>
    <row r="25" spans="1:8" x14ac:dyDescent="0.2">
      <c r="A25">
        <f t="shared" si="1"/>
        <v>24</v>
      </c>
      <c r="B25" s="135">
        <v>38478</v>
      </c>
      <c r="D25" s="132">
        <f t="shared" si="0"/>
        <v>38491</v>
      </c>
      <c r="E25" s="45">
        <v>1</v>
      </c>
      <c r="G25" s="137"/>
      <c r="H25" s="45"/>
    </row>
    <row r="26" spans="1:8" x14ac:dyDescent="0.2">
      <c r="A26">
        <f t="shared" si="1"/>
        <v>25</v>
      </c>
      <c r="B26" s="135">
        <v>38478</v>
      </c>
      <c r="D26" s="132">
        <f t="shared" si="0"/>
        <v>38492</v>
      </c>
      <c r="E26" s="45">
        <v>1</v>
      </c>
      <c r="G26" s="137"/>
    </row>
    <row r="27" spans="1:8" x14ac:dyDescent="0.2">
      <c r="A27">
        <f t="shared" si="1"/>
        <v>26</v>
      </c>
      <c r="B27" s="135">
        <v>38478</v>
      </c>
      <c r="D27" s="132">
        <f t="shared" si="0"/>
        <v>38493</v>
      </c>
      <c r="E27" s="45"/>
      <c r="G27" s="137"/>
    </row>
    <row r="28" spans="1:8" x14ac:dyDescent="0.2">
      <c r="A28">
        <f t="shared" si="1"/>
        <v>27</v>
      </c>
      <c r="B28" s="135">
        <v>38479</v>
      </c>
      <c r="D28" s="132">
        <f t="shared" si="0"/>
        <v>38494</v>
      </c>
      <c r="E28" s="45">
        <v>2</v>
      </c>
      <c r="G28" s="137"/>
    </row>
    <row r="29" spans="1:8" x14ac:dyDescent="0.2">
      <c r="A29">
        <f t="shared" si="1"/>
        <v>28</v>
      </c>
      <c r="B29" s="135">
        <v>38479</v>
      </c>
      <c r="D29" s="132">
        <f t="shared" si="0"/>
        <v>38495</v>
      </c>
      <c r="E29" s="45">
        <v>2</v>
      </c>
      <c r="G29" s="137"/>
    </row>
    <row r="30" spans="1:8" x14ac:dyDescent="0.2">
      <c r="A30">
        <f t="shared" si="1"/>
        <v>29</v>
      </c>
      <c r="B30" s="135">
        <v>38479</v>
      </c>
      <c r="D30" s="132">
        <f t="shared" si="0"/>
        <v>38496</v>
      </c>
      <c r="E30" s="45">
        <v>2</v>
      </c>
      <c r="G30" s="137"/>
    </row>
    <row r="31" spans="1:8" x14ac:dyDescent="0.2">
      <c r="A31">
        <f>A30+1</f>
        <v>30</v>
      </c>
      <c r="B31" s="135">
        <v>38479</v>
      </c>
      <c r="D31" s="132">
        <f t="shared" si="0"/>
        <v>38497</v>
      </c>
      <c r="E31" s="45"/>
      <c r="G31" s="137"/>
    </row>
    <row r="32" spans="1:8" x14ac:dyDescent="0.2">
      <c r="A32">
        <f t="shared" si="1"/>
        <v>31</v>
      </c>
      <c r="B32" s="135">
        <v>38479</v>
      </c>
      <c r="D32" s="132">
        <f t="shared" si="0"/>
        <v>38498</v>
      </c>
      <c r="E32" s="45"/>
      <c r="G32" s="137"/>
    </row>
    <row r="33" spans="1:7" x14ac:dyDescent="0.2">
      <c r="A33">
        <f t="shared" si="1"/>
        <v>32</v>
      </c>
      <c r="B33" s="135">
        <v>38480</v>
      </c>
      <c r="D33" s="132">
        <f t="shared" si="0"/>
        <v>38499</v>
      </c>
      <c r="E33" s="45">
        <v>1</v>
      </c>
      <c r="G33" s="137"/>
    </row>
    <row r="34" spans="1:7" x14ac:dyDescent="0.2">
      <c r="A34">
        <f t="shared" si="1"/>
        <v>33</v>
      </c>
      <c r="B34" s="135">
        <v>38480</v>
      </c>
      <c r="D34" s="132">
        <f t="shared" si="0"/>
        <v>38500</v>
      </c>
      <c r="E34" s="45"/>
      <c r="G34" s="137"/>
    </row>
    <row r="35" spans="1:7" x14ac:dyDescent="0.2">
      <c r="A35">
        <f t="shared" si="1"/>
        <v>34</v>
      </c>
      <c r="B35" s="135">
        <v>38480</v>
      </c>
      <c r="D35" s="132">
        <f t="shared" si="0"/>
        <v>38501</v>
      </c>
      <c r="E35" s="45">
        <v>1</v>
      </c>
      <c r="G35" s="137"/>
    </row>
    <row r="36" spans="1:7" x14ac:dyDescent="0.2">
      <c r="A36">
        <f t="shared" si="1"/>
        <v>35</v>
      </c>
      <c r="B36" s="135">
        <v>38481</v>
      </c>
      <c r="D36" s="132">
        <f t="shared" si="0"/>
        <v>38502</v>
      </c>
      <c r="E36" s="45"/>
      <c r="G36" s="137"/>
    </row>
    <row r="37" spans="1:7" x14ac:dyDescent="0.2">
      <c r="A37">
        <f t="shared" si="1"/>
        <v>36</v>
      </c>
      <c r="B37" s="135">
        <v>38481</v>
      </c>
      <c r="D37" s="132">
        <f t="shared" si="0"/>
        <v>38503</v>
      </c>
      <c r="E37" s="45"/>
      <c r="G37" s="137"/>
    </row>
    <row r="38" spans="1:7" x14ac:dyDescent="0.2">
      <c r="A38">
        <f t="shared" si="1"/>
        <v>37</v>
      </c>
      <c r="B38" s="135">
        <v>38481</v>
      </c>
      <c r="D38" s="132">
        <f t="shared" si="0"/>
        <v>38504</v>
      </c>
      <c r="E38" s="45">
        <v>2</v>
      </c>
      <c r="G38" s="137"/>
    </row>
    <row r="39" spans="1:7" x14ac:dyDescent="0.2">
      <c r="A39">
        <f t="shared" si="1"/>
        <v>38</v>
      </c>
      <c r="B39" s="135">
        <v>38482</v>
      </c>
      <c r="D39" s="132">
        <f t="shared" si="0"/>
        <v>38505</v>
      </c>
      <c r="E39" s="45"/>
      <c r="G39" s="137"/>
    </row>
    <row r="40" spans="1:7" x14ac:dyDescent="0.2">
      <c r="A40">
        <f t="shared" si="1"/>
        <v>39</v>
      </c>
      <c r="B40" s="135">
        <v>38482</v>
      </c>
      <c r="D40" s="132">
        <f t="shared" si="0"/>
        <v>38506</v>
      </c>
      <c r="E40" s="45"/>
      <c r="G40" s="137"/>
    </row>
    <row r="41" spans="1:7" x14ac:dyDescent="0.2">
      <c r="A41">
        <f t="shared" si="1"/>
        <v>40</v>
      </c>
      <c r="B41" s="135">
        <v>38482</v>
      </c>
      <c r="D41" s="132">
        <f t="shared" si="0"/>
        <v>38507</v>
      </c>
      <c r="E41" s="45"/>
      <c r="G41" s="137"/>
    </row>
    <row r="42" spans="1:7" x14ac:dyDescent="0.2">
      <c r="A42">
        <f t="shared" si="1"/>
        <v>41</v>
      </c>
      <c r="B42" s="135">
        <v>38482</v>
      </c>
      <c r="D42" s="132">
        <f t="shared" si="0"/>
        <v>38508</v>
      </c>
      <c r="E42" s="45">
        <v>2</v>
      </c>
      <c r="G42" s="137"/>
    </row>
    <row r="43" spans="1:7" x14ac:dyDescent="0.2">
      <c r="A43">
        <f t="shared" si="1"/>
        <v>42</v>
      </c>
      <c r="B43" s="135">
        <v>38483</v>
      </c>
      <c r="D43" s="132">
        <f t="shared" si="0"/>
        <v>38509</v>
      </c>
      <c r="E43" s="45">
        <v>1</v>
      </c>
      <c r="G43" s="137"/>
    </row>
    <row r="44" spans="1:7" x14ac:dyDescent="0.2">
      <c r="A44">
        <f t="shared" si="1"/>
        <v>43</v>
      </c>
      <c r="B44" s="135">
        <v>38483</v>
      </c>
      <c r="D44" s="132">
        <f t="shared" si="0"/>
        <v>38510</v>
      </c>
      <c r="E44" s="45">
        <v>3</v>
      </c>
      <c r="G44" s="137"/>
    </row>
    <row r="45" spans="1:7" x14ac:dyDescent="0.2">
      <c r="A45">
        <f t="shared" si="1"/>
        <v>44</v>
      </c>
      <c r="B45" s="135">
        <v>38484</v>
      </c>
      <c r="D45" s="132">
        <f t="shared" si="0"/>
        <v>38511</v>
      </c>
      <c r="E45" s="45">
        <v>1</v>
      </c>
      <c r="G45" s="137"/>
    </row>
    <row r="46" spans="1:7" x14ac:dyDescent="0.2">
      <c r="A46">
        <f t="shared" si="1"/>
        <v>45</v>
      </c>
      <c r="B46" s="135">
        <v>38485</v>
      </c>
      <c r="D46" s="132">
        <f t="shared" si="0"/>
        <v>38512</v>
      </c>
      <c r="E46" s="45">
        <v>1</v>
      </c>
      <c r="G46" s="137"/>
    </row>
    <row r="47" spans="1:7" x14ac:dyDescent="0.2">
      <c r="A47">
        <f t="shared" si="1"/>
        <v>46</v>
      </c>
      <c r="B47" s="135">
        <v>38485</v>
      </c>
      <c r="D47" s="132">
        <f t="shared" si="0"/>
        <v>38513</v>
      </c>
      <c r="E47" s="45">
        <v>2</v>
      </c>
      <c r="G47" s="137"/>
    </row>
    <row r="48" spans="1:7" x14ac:dyDescent="0.2">
      <c r="A48">
        <f t="shared" si="1"/>
        <v>47</v>
      </c>
      <c r="B48" s="135">
        <v>38485</v>
      </c>
      <c r="D48" s="132">
        <f t="shared" si="0"/>
        <v>38514</v>
      </c>
      <c r="E48" s="45">
        <v>3</v>
      </c>
      <c r="G48" s="137"/>
    </row>
    <row r="49" spans="1:7" x14ac:dyDescent="0.2">
      <c r="A49">
        <f t="shared" si="1"/>
        <v>48</v>
      </c>
      <c r="B49" s="135">
        <v>38485</v>
      </c>
      <c r="D49" s="132">
        <f t="shared" si="0"/>
        <v>38515</v>
      </c>
      <c r="E49" s="45">
        <v>3</v>
      </c>
      <c r="G49" s="137"/>
    </row>
    <row r="50" spans="1:7" x14ac:dyDescent="0.2">
      <c r="A50">
        <f>A49+1</f>
        <v>49</v>
      </c>
      <c r="B50" s="135">
        <v>38121</v>
      </c>
      <c r="D50" s="132">
        <f t="shared" si="0"/>
        <v>38516</v>
      </c>
      <c r="E50" s="45">
        <v>4</v>
      </c>
      <c r="G50" s="137"/>
    </row>
    <row r="51" spans="1:7" x14ac:dyDescent="0.2">
      <c r="A51">
        <f t="shared" si="1"/>
        <v>50</v>
      </c>
      <c r="B51" s="135">
        <v>38487</v>
      </c>
      <c r="D51" s="132">
        <f t="shared" si="0"/>
        <v>38517</v>
      </c>
      <c r="E51" s="45">
        <v>2</v>
      </c>
      <c r="G51" s="137"/>
    </row>
  </sheetData>
  <sheetProtection password="C774" sheet="1" objects="1" scenarios="1"/>
  <phoneticPr fontId="43" type="noConversion"/>
  <hyperlinks>
    <hyperlink ref="M1" location="'Main Menu'!A1" display="Main Menu"/>
  </hyperlinks>
  <pageMargins left="0.75" right="0.75" top="1" bottom="1" header="0.5" footer="0.5"/>
  <pageSetup orientation="portrait" r:id="rId1"/>
  <headerFooter alignWithMargins="0"/>
  <ignoredErrors>
    <ignoredError sqref="H10 H11:H15" formulaRange="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workbookViewId="0">
      <selection activeCell="A24" sqref="A24:D24"/>
    </sheetView>
  </sheetViews>
  <sheetFormatPr defaultColWidth="8.7109375" defaultRowHeight="12.75" x14ac:dyDescent="0.2"/>
  <cols>
    <col min="4" max="4" width="11.42578125" customWidth="1"/>
    <col min="5" max="5" width="10" customWidth="1"/>
    <col min="13" max="13" width="7" customWidth="1"/>
    <col min="14" max="14" width="6.28515625" customWidth="1"/>
  </cols>
  <sheetData>
    <row r="1" spans="1:15" ht="35.25" customHeight="1" x14ac:dyDescent="0.2">
      <c r="O1" s="146" t="s">
        <v>179</v>
      </c>
    </row>
    <row r="2" spans="1:15" ht="15.75" x14ac:dyDescent="0.25">
      <c r="A2" s="529" t="s">
        <v>276</v>
      </c>
      <c r="B2" s="529"/>
      <c r="C2" s="529"/>
      <c r="D2" s="529"/>
    </row>
    <row r="3" spans="1:15" x14ac:dyDescent="0.2">
      <c r="B3" t="s">
        <v>74</v>
      </c>
      <c r="D3" t="s">
        <v>76</v>
      </c>
    </row>
    <row r="4" spans="1:15" x14ac:dyDescent="0.2">
      <c r="B4" s="120" t="s">
        <v>58</v>
      </c>
      <c r="D4" s="120" t="s">
        <v>58</v>
      </c>
    </row>
    <row r="5" spans="1:15" x14ac:dyDescent="0.2">
      <c r="B5" s="119">
        <v>25</v>
      </c>
      <c r="D5" s="119">
        <v>23</v>
      </c>
    </row>
    <row r="6" spans="1:15" x14ac:dyDescent="0.2">
      <c r="B6" s="119">
        <v>25</v>
      </c>
      <c r="D6" s="119">
        <v>26</v>
      </c>
    </row>
    <row r="7" spans="1:15" x14ac:dyDescent="0.2">
      <c r="B7" s="119">
        <v>27</v>
      </c>
      <c r="D7" s="119">
        <v>24</v>
      </c>
    </row>
    <row r="8" spans="1:15" x14ac:dyDescent="0.2">
      <c r="B8" s="119">
        <v>34</v>
      </c>
      <c r="D8" s="119">
        <v>32</v>
      </c>
    </row>
    <row r="9" spans="1:15" x14ac:dyDescent="0.2">
      <c r="B9" s="119">
        <v>38</v>
      </c>
      <c r="D9" s="119">
        <v>34</v>
      </c>
    </row>
    <row r="10" spans="1:15" x14ac:dyDescent="0.2">
      <c r="B10" s="119">
        <v>30</v>
      </c>
      <c r="D10" s="119">
        <v>30</v>
      </c>
    </row>
    <row r="11" spans="1:15" x14ac:dyDescent="0.2">
      <c r="B11" s="119">
        <v>25</v>
      </c>
      <c r="D11" s="119">
        <v>24</v>
      </c>
    </row>
    <row r="12" spans="1:15" x14ac:dyDescent="0.2">
      <c r="B12" s="119">
        <v>28</v>
      </c>
      <c r="D12" s="119">
        <v>26</v>
      </c>
    </row>
    <row r="13" spans="1:15" x14ac:dyDescent="0.2">
      <c r="B13" s="119">
        <v>29</v>
      </c>
      <c r="D13" s="119">
        <v>22</v>
      </c>
    </row>
    <row r="14" spans="1:15" x14ac:dyDescent="0.2">
      <c r="B14" s="119">
        <v>32</v>
      </c>
      <c r="D14" s="119">
        <v>31</v>
      </c>
    </row>
    <row r="15" spans="1:15" x14ac:dyDescent="0.2">
      <c r="B15" s="119">
        <v>27</v>
      </c>
      <c r="D15" s="119">
        <v>28</v>
      </c>
    </row>
    <row r="16" spans="1:15" x14ac:dyDescent="0.2">
      <c r="B16" s="119">
        <v>28</v>
      </c>
      <c r="D16" s="119">
        <v>25</v>
      </c>
    </row>
    <row r="17" spans="1:5" x14ac:dyDescent="0.2">
      <c r="B17" s="119">
        <v>30</v>
      </c>
      <c r="D17" s="119">
        <v>27</v>
      </c>
    </row>
    <row r="18" spans="1:5" x14ac:dyDescent="0.2">
      <c r="B18" s="119">
        <v>31</v>
      </c>
      <c r="D18" s="119">
        <v>30</v>
      </c>
    </row>
    <row r="19" spans="1:5" x14ac:dyDescent="0.2">
      <c r="B19" s="65">
        <f>AVERAGE(B5:B18)</f>
        <v>29.214285714285715</v>
      </c>
      <c r="C19" s="59" t="s">
        <v>71</v>
      </c>
      <c r="D19" s="65">
        <f>AVERAGE(D5:D18)</f>
        <v>27.285714285714285</v>
      </c>
    </row>
    <row r="20" spans="1:5" x14ac:dyDescent="0.2">
      <c r="B20" s="65">
        <f>STDEV(B5:B18)</f>
        <v>3.7040221678305651</v>
      </c>
      <c r="C20" s="59" t="s">
        <v>95</v>
      </c>
      <c r="D20" s="65">
        <f>STDEV(D5:D18)</f>
        <v>3.6464644927248799</v>
      </c>
    </row>
    <row r="21" spans="1:5" x14ac:dyDescent="0.2">
      <c r="E21" s="59"/>
    </row>
    <row r="22" spans="1:5" x14ac:dyDescent="0.2">
      <c r="B22" s="42"/>
      <c r="C22" s="49" t="s">
        <v>119</v>
      </c>
      <c r="D22" s="222">
        <f>TTEST(B5:B18,D5:D18,2,2)</f>
        <v>0.17682507764335093</v>
      </c>
    </row>
    <row r="23" spans="1:5" x14ac:dyDescent="0.2">
      <c r="C23" s="1"/>
    </row>
    <row r="24" spans="1:5" ht="15.75" x14ac:dyDescent="0.25">
      <c r="A24" s="529" t="s">
        <v>277</v>
      </c>
      <c r="B24" s="529"/>
      <c r="C24" s="529"/>
      <c r="D24" s="529"/>
    </row>
    <row r="25" spans="1:5" x14ac:dyDescent="0.2">
      <c r="B25" s="66" t="s">
        <v>120</v>
      </c>
      <c r="C25" s="66"/>
      <c r="D25" s="66" t="s">
        <v>121</v>
      </c>
    </row>
    <row r="26" spans="1:5" ht="15" x14ac:dyDescent="0.25">
      <c r="A26" t="s">
        <v>142</v>
      </c>
      <c r="B26" s="66" t="s">
        <v>117</v>
      </c>
      <c r="C26" s="66"/>
      <c r="D26" s="66" t="s">
        <v>118</v>
      </c>
      <c r="E26" s="67" t="s">
        <v>122</v>
      </c>
    </row>
    <row r="27" spans="1:5" ht="15" x14ac:dyDescent="0.25">
      <c r="A27">
        <v>1</v>
      </c>
      <c r="B27" s="119">
        <v>25</v>
      </c>
      <c r="D27" s="119">
        <v>23</v>
      </c>
      <c r="E27" s="67">
        <f>D27-B27</f>
        <v>-2</v>
      </c>
    </row>
    <row r="28" spans="1:5" ht="15" x14ac:dyDescent="0.25">
      <c r="A28">
        <v>2</v>
      </c>
      <c r="B28" s="119">
        <v>25</v>
      </c>
      <c r="D28" s="119">
        <v>26</v>
      </c>
      <c r="E28" s="67">
        <f t="shared" ref="E28:E40" si="0">D28-B28</f>
        <v>1</v>
      </c>
    </row>
    <row r="29" spans="1:5" ht="15" x14ac:dyDescent="0.25">
      <c r="A29">
        <v>3</v>
      </c>
      <c r="B29" s="119">
        <v>27</v>
      </c>
      <c r="D29" s="119">
        <v>24</v>
      </c>
      <c r="E29" s="67">
        <f t="shared" si="0"/>
        <v>-3</v>
      </c>
    </row>
    <row r="30" spans="1:5" ht="15" x14ac:dyDescent="0.25">
      <c r="A30">
        <v>4</v>
      </c>
      <c r="B30" s="119">
        <v>34</v>
      </c>
      <c r="D30" s="119">
        <v>32</v>
      </c>
      <c r="E30" s="67">
        <f t="shared" si="0"/>
        <v>-2</v>
      </c>
    </row>
    <row r="31" spans="1:5" ht="15" x14ac:dyDescent="0.25">
      <c r="A31">
        <v>5</v>
      </c>
      <c r="B31" s="119">
        <v>38</v>
      </c>
      <c r="D31" s="119">
        <v>34</v>
      </c>
      <c r="E31" s="67">
        <f t="shared" si="0"/>
        <v>-4</v>
      </c>
    </row>
    <row r="32" spans="1:5" ht="15" x14ac:dyDescent="0.25">
      <c r="A32">
        <v>6</v>
      </c>
      <c r="B32" s="119">
        <v>30</v>
      </c>
      <c r="D32" s="119">
        <v>30</v>
      </c>
      <c r="E32" s="67">
        <f t="shared" si="0"/>
        <v>0</v>
      </c>
    </row>
    <row r="33" spans="1:5" ht="15" x14ac:dyDescent="0.25">
      <c r="A33">
        <v>7</v>
      </c>
      <c r="B33" s="119">
        <v>25</v>
      </c>
      <c r="D33" s="119">
        <v>24</v>
      </c>
      <c r="E33" s="67">
        <f t="shared" si="0"/>
        <v>-1</v>
      </c>
    </row>
    <row r="34" spans="1:5" ht="15" x14ac:dyDescent="0.25">
      <c r="A34">
        <v>8</v>
      </c>
      <c r="B34" s="119">
        <v>28</v>
      </c>
      <c r="D34" s="119">
        <v>26</v>
      </c>
      <c r="E34" s="67">
        <f t="shared" si="0"/>
        <v>-2</v>
      </c>
    </row>
    <row r="35" spans="1:5" ht="15" x14ac:dyDescent="0.25">
      <c r="A35">
        <v>9</v>
      </c>
      <c r="B35" s="119">
        <v>29</v>
      </c>
      <c r="D35" s="119">
        <v>22</v>
      </c>
      <c r="E35" s="67">
        <f t="shared" si="0"/>
        <v>-7</v>
      </c>
    </row>
    <row r="36" spans="1:5" ht="15" x14ac:dyDescent="0.25">
      <c r="A36">
        <v>10</v>
      </c>
      <c r="B36" s="119">
        <v>32</v>
      </c>
      <c r="D36" s="119">
        <v>31</v>
      </c>
      <c r="E36" s="67">
        <f t="shared" si="0"/>
        <v>-1</v>
      </c>
    </row>
    <row r="37" spans="1:5" ht="15" x14ac:dyDescent="0.25">
      <c r="A37">
        <v>11</v>
      </c>
      <c r="B37" s="119">
        <v>27</v>
      </c>
      <c r="D37" s="119">
        <v>28</v>
      </c>
      <c r="E37" s="67">
        <f t="shared" si="0"/>
        <v>1</v>
      </c>
    </row>
    <row r="38" spans="1:5" ht="15" x14ac:dyDescent="0.25">
      <c r="A38">
        <v>12</v>
      </c>
      <c r="B38" s="119">
        <v>28</v>
      </c>
      <c r="D38" s="119">
        <v>25</v>
      </c>
      <c r="E38" s="67">
        <f t="shared" si="0"/>
        <v>-3</v>
      </c>
    </row>
    <row r="39" spans="1:5" ht="15" x14ac:dyDescent="0.25">
      <c r="A39">
        <v>13</v>
      </c>
      <c r="B39" s="119">
        <v>30</v>
      </c>
      <c r="D39" s="119">
        <v>27</v>
      </c>
      <c r="E39" s="67">
        <f t="shared" si="0"/>
        <v>-3</v>
      </c>
    </row>
    <row r="40" spans="1:5" ht="15" x14ac:dyDescent="0.25">
      <c r="A40">
        <v>14</v>
      </c>
      <c r="B40" s="119">
        <v>31</v>
      </c>
      <c r="D40" s="119">
        <v>30</v>
      </c>
      <c r="E40" s="67">
        <f t="shared" si="0"/>
        <v>-1</v>
      </c>
    </row>
    <row r="41" spans="1:5" ht="15" x14ac:dyDescent="0.25">
      <c r="D41" s="49" t="s">
        <v>124</v>
      </c>
      <c r="E41" s="68">
        <f>AVERAGE(E27:E40)</f>
        <v>-1.9285714285714286</v>
      </c>
    </row>
    <row r="42" spans="1:5" ht="15" x14ac:dyDescent="0.25">
      <c r="D42" s="49" t="s">
        <v>123</v>
      </c>
      <c r="E42" s="69">
        <f>TTEST(B27:B40,D27:D40,2,1)</f>
        <v>4.3221197177266638E-3</v>
      </c>
    </row>
  </sheetData>
  <sheetProtection password="C774" sheet="1" objects="1" scenarios="1"/>
  <mergeCells count="2">
    <mergeCell ref="A2:D2"/>
    <mergeCell ref="A24:D24"/>
  </mergeCells>
  <phoneticPr fontId="0" type="noConversion"/>
  <hyperlinks>
    <hyperlink ref="O1" location="'Main Menu'!A1" display="Main Menu"/>
  </hyperlinks>
  <pageMargins left="0.75" right="0.75" top="1" bottom="1" header="0.5" footer="0.5"/>
  <pageSetup orientation="portrait" verticalDpi="0"/>
  <headerFooter alignWithMargins="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5"/>
  <sheetViews>
    <sheetView topLeftCell="A4" workbookViewId="0"/>
  </sheetViews>
  <sheetFormatPr defaultColWidth="8.7109375" defaultRowHeight="12.75" x14ac:dyDescent="0.2"/>
  <cols>
    <col min="4" max="4" width="8.7109375" customWidth="1"/>
    <col min="5" max="6" width="11.140625" customWidth="1"/>
  </cols>
  <sheetData>
    <row r="1" spans="1:20" ht="34.5" customHeight="1" x14ac:dyDescent="0.2">
      <c r="F1" s="143" t="s">
        <v>179</v>
      </c>
      <c r="H1" s="416" t="s">
        <v>257</v>
      </c>
      <c r="I1" s="416"/>
      <c r="J1" s="416"/>
    </row>
    <row r="2" spans="1:20" x14ac:dyDescent="0.2">
      <c r="R2" t="s">
        <v>109</v>
      </c>
      <c r="S2" t="s">
        <v>110</v>
      </c>
      <c r="T2" t="s">
        <v>111</v>
      </c>
    </row>
    <row r="3" spans="1:20" x14ac:dyDescent="0.2">
      <c r="R3" s="2" t="s">
        <v>103</v>
      </c>
      <c r="S3">
        <v>1</v>
      </c>
      <c r="T3">
        <v>1</v>
      </c>
    </row>
    <row r="4" spans="1:20" x14ac:dyDescent="0.2">
      <c r="A4" s="45"/>
      <c r="R4" s="2" t="s">
        <v>104</v>
      </c>
      <c r="T4">
        <v>1</v>
      </c>
    </row>
    <row r="5" spans="1:20" x14ac:dyDescent="0.2">
      <c r="A5" s="45"/>
      <c r="R5" s="2" t="s">
        <v>105</v>
      </c>
      <c r="S5">
        <v>4</v>
      </c>
      <c r="T5">
        <v>1</v>
      </c>
    </row>
    <row r="6" spans="1:20" x14ac:dyDescent="0.2">
      <c r="A6" s="45"/>
      <c r="R6" s="2" t="s">
        <v>106</v>
      </c>
    </row>
    <row r="7" spans="1:20" x14ac:dyDescent="0.2">
      <c r="A7" s="45"/>
      <c r="R7" s="2" t="s">
        <v>107</v>
      </c>
      <c r="S7">
        <v>2</v>
      </c>
    </row>
    <row r="8" spans="1:20" x14ac:dyDescent="0.2">
      <c r="A8" s="45"/>
      <c r="R8" s="2" t="s">
        <v>108</v>
      </c>
      <c r="S8">
        <v>1</v>
      </c>
    </row>
    <row r="9" spans="1:20" x14ac:dyDescent="0.2">
      <c r="A9" s="45"/>
    </row>
    <row r="10" spans="1:20" x14ac:dyDescent="0.2">
      <c r="A10" s="45"/>
    </row>
    <row r="11" spans="1:20" x14ac:dyDescent="0.2">
      <c r="A11" s="45"/>
    </row>
    <row r="12" spans="1:20" x14ac:dyDescent="0.2">
      <c r="A12" s="61"/>
      <c r="B12" s="61"/>
    </row>
    <row r="13" spans="1:20" x14ac:dyDescent="0.2">
      <c r="A13" s="61"/>
      <c r="B13" s="61"/>
    </row>
    <row r="14" spans="1:20" x14ac:dyDescent="0.2">
      <c r="A14" s="61"/>
      <c r="B14" s="61"/>
    </row>
    <row r="16" spans="1:20" x14ac:dyDescent="0.2">
      <c r="B16" s="42"/>
    </row>
    <row r="17" spans="1:19" x14ac:dyDescent="0.2">
      <c r="H17" s="42"/>
      <c r="I17" s="42"/>
      <c r="J17" s="43"/>
    </row>
    <row r="20" spans="1:19" ht="15.75" x14ac:dyDescent="0.25">
      <c r="G20" s="18"/>
      <c r="I20" s="43"/>
    </row>
    <row r="21" spans="1:19" x14ac:dyDescent="0.2">
      <c r="A21" t="s">
        <v>112</v>
      </c>
    </row>
    <row r="23" spans="1:19" x14ac:dyDescent="0.2">
      <c r="A23" s="42"/>
      <c r="B23" s="64" t="s">
        <v>74</v>
      </c>
      <c r="C23" s="22" t="s">
        <v>76</v>
      </c>
    </row>
    <row r="24" spans="1:19" x14ac:dyDescent="0.2">
      <c r="B24" s="62">
        <v>4.5</v>
      </c>
      <c r="C24" s="62">
        <v>4.2</v>
      </c>
    </row>
    <row r="25" spans="1:19" x14ac:dyDescent="0.2">
      <c r="B25" s="62">
        <v>5</v>
      </c>
      <c r="C25" s="62">
        <v>7.2</v>
      </c>
      <c r="R25" t="s">
        <v>100</v>
      </c>
      <c r="S25" t="s">
        <v>101</v>
      </c>
    </row>
    <row r="26" spans="1:19" x14ac:dyDescent="0.2">
      <c r="B26" s="62">
        <v>5.3</v>
      </c>
      <c r="C26" s="62">
        <v>8</v>
      </c>
      <c r="R26" s="45">
        <v>56</v>
      </c>
      <c r="S26">
        <v>19</v>
      </c>
    </row>
    <row r="27" spans="1:19" x14ac:dyDescent="0.2">
      <c r="B27" s="62">
        <v>5.3</v>
      </c>
      <c r="C27" s="62">
        <v>3.5</v>
      </c>
      <c r="R27" s="45">
        <v>37</v>
      </c>
      <c r="S27">
        <v>25</v>
      </c>
    </row>
    <row r="28" spans="1:19" x14ac:dyDescent="0.2">
      <c r="B28" s="62">
        <v>6</v>
      </c>
      <c r="C28" s="62">
        <v>6.3</v>
      </c>
      <c r="R28" s="45">
        <v>57</v>
      </c>
      <c r="S28">
        <v>38</v>
      </c>
    </row>
    <row r="29" spans="1:19" x14ac:dyDescent="0.2">
      <c r="B29" s="62">
        <v>6</v>
      </c>
      <c r="C29" s="62">
        <v>5.0999999999999996</v>
      </c>
      <c r="R29" s="45">
        <v>39</v>
      </c>
    </row>
    <row r="30" spans="1:19" x14ac:dyDescent="0.2">
      <c r="B30" s="62">
        <v>7.6</v>
      </c>
      <c r="C30" s="62">
        <v>4.5999999999999996</v>
      </c>
      <c r="R30" s="45">
        <v>35</v>
      </c>
    </row>
    <row r="31" spans="1:19" x14ac:dyDescent="0.2">
      <c r="B31" s="62">
        <v>7.7</v>
      </c>
      <c r="C31" s="62">
        <v>4.8</v>
      </c>
      <c r="R31" s="45">
        <v>40</v>
      </c>
    </row>
    <row r="32" spans="1:19" x14ac:dyDescent="0.2">
      <c r="B32" s="62">
        <v>6.4</v>
      </c>
      <c r="C32" s="62">
        <v>2</v>
      </c>
      <c r="R32" s="45">
        <v>66</v>
      </c>
    </row>
    <row r="33" spans="2:20" x14ac:dyDescent="0.2">
      <c r="B33" s="62">
        <v>7.2</v>
      </c>
      <c r="C33" s="62">
        <v>5</v>
      </c>
      <c r="R33" s="45">
        <v>19</v>
      </c>
    </row>
    <row r="34" spans="2:20" x14ac:dyDescent="0.2">
      <c r="B34" s="62">
        <v>7</v>
      </c>
      <c r="C34" s="62">
        <v>5.4</v>
      </c>
      <c r="R34" s="61">
        <f>AVERAGE(R26:R33)</f>
        <v>43.625</v>
      </c>
      <c r="S34" s="61">
        <f>AVERAGE(S26:S33)</f>
        <v>27.333333333333332</v>
      </c>
      <c r="T34" t="s">
        <v>71</v>
      </c>
    </row>
    <row r="35" spans="2:20" x14ac:dyDescent="0.2">
      <c r="B35" s="62">
        <v>5.6</v>
      </c>
      <c r="C35" s="62"/>
      <c r="R35" s="61">
        <f>VAR(R26:R33)</f>
        <v>227.41071428571428</v>
      </c>
      <c r="S35" s="61">
        <f>VAR(S26:S33)</f>
        <v>94.333333333333258</v>
      </c>
      <c r="T35" t="s">
        <v>64</v>
      </c>
    </row>
    <row r="36" spans="2:20" x14ac:dyDescent="0.2">
      <c r="B36" s="62">
        <v>8.4</v>
      </c>
      <c r="C36" s="62"/>
      <c r="R36" s="61">
        <f>STDEV(R26:R33)</f>
        <v>15.080143045930111</v>
      </c>
      <c r="S36" s="61">
        <f>STDEV(S26:S33)</f>
        <v>9.7125348562223071</v>
      </c>
      <c r="T36" t="s">
        <v>95</v>
      </c>
    </row>
    <row r="37" spans="2:20" x14ac:dyDescent="0.2">
      <c r="B37" s="62">
        <v>8.3000000000000007</v>
      </c>
      <c r="C37" s="62"/>
    </row>
    <row r="38" spans="2:20" x14ac:dyDescent="0.2">
      <c r="B38" s="62">
        <v>9.5</v>
      </c>
      <c r="C38" s="62"/>
      <c r="S38" s="42">
        <f>TTEST(R25:R33,S26:S28,2,3)</f>
        <v>8.0826222894580607E-2</v>
      </c>
      <c r="T38" t="s">
        <v>102</v>
      </c>
    </row>
    <row r="39" spans="2:20" x14ac:dyDescent="0.2">
      <c r="B39" s="43">
        <f>COUNT(B24:B38)</f>
        <v>15</v>
      </c>
      <c r="C39" s="43">
        <f>COUNT(C24:C38)</f>
        <v>11</v>
      </c>
      <c r="D39" s="59" t="s">
        <v>113</v>
      </c>
    </row>
    <row r="40" spans="2:20" x14ac:dyDescent="0.2">
      <c r="B40" s="63">
        <f>AVERAGE(B24:B38)</f>
        <v>6.6533333333333333</v>
      </c>
      <c r="C40" s="63">
        <f>AVERAGE(C24:C38)</f>
        <v>5.0999999999999996</v>
      </c>
      <c r="D40" s="59" t="s">
        <v>71</v>
      </c>
    </row>
    <row r="41" spans="2:20" x14ac:dyDescent="0.2">
      <c r="B41" s="42">
        <f>VAR(B24:B38)</f>
        <v>2.0955238095238138</v>
      </c>
      <c r="C41" s="42">
        <f>VAR(C24:C34)</f>
        <v>2.7680000000000065</v>
      </c>
      <c r="D41" s="59" t="s">
        <v>64</v>
      </c>
    </row>
    <row r="42" spans="2:20" x14ac:dyDescent="0.2">
      <c r="B42" s="42">
        <f>STDEV(B24:B38)</f>
        <v>1.4475924183014408</v>
      </c>
      <c r="C42" s="42">
        <f>STDEV(C24:C34)</f>
        <v>1.6637307474468357</v>
      </c>
      <c r="D42" s="59" t="s">
        <v>95</v>
      </c>
    </row>
    <row r="43" spans="2:20" x14ac:dyDescent="0.2">
      <c r="B43" s="42">
        <f>B42/SQRT(B39)</f>
        <v>0.37376675521184005</v>
      </c>
      <c r="C43" s="42">
        <f>C42/SQRT(C39)</f>
        <v>0.50163369467806307</v>
      </c>
      <c r="D43" s="59" t="s">
        <v>114</v>
      </c>
    </row>
    <row r="44" spans="2:20" x14ac:dyDescent="0.2">
      <c r="B44" s="42"/>
      <c r="C44" s="42">
        <f>TTEST(B24:B38,C24:C34,2,2)</f>
        <v>1.8024579516313834E-2</v>
      </c>
      <c r="D44" s="59" t="s">
        <v>115</v>
      </c>
    </row>
    <row r="45" spans="2:20" x14ac:dyDescent="0.2">
      <c r="B45" s="42"/>
      <c r="C45" s="42">
        <f>TTEST(B24:B38,C24:C34,2,3)</f>
        <v>2.2102091788679088E-2</v>
      </c>
      <c r="D45" s="59" t="s">
        <v>116</v>
      </c>
    </row>
  </sheetData>
  <sheetProtection password="C774" sheet="1" objects="1" scenarios="1"/>
  <mergeCells count="1">
    <mergeCell ref="H1:J1"/>
  </mergeCells>
  <phoneticPr fontId="0" type="noConversion"/>
  <hyperlinks>
    <hyperlink ref="F1" location="'Main Menu'!A1" display="Main Menu"/>
  </hyperlinks>
  <pageMargins left="0.75" right="0.75" top="1" bottom="1" header="0.5" footer="0.5"/>
  <pageSetup orientation="portrait" horizontalDpi="300" verticalDpi="300"/>
  <headerFooter alignWithMargins="0"/>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workbookViewId="0">
      <selection activeCell="J1" sqref="J1"/>
    </sheetView>
  </sheetViews>
  <sheetFormatPr defaultColWidth="8.7109375" defaultRowHeight="12.75" x14ac:dyDescent="0.2"/>
  <cols>
    <col min="7" max="7" width="10.140625" customWidth="1"/>
  </cols>
  <sheetData>
    <row r="1" spans="1:15" ht="24.75" customHeight="1" x14ac:dyDescent="0.2">
      <c r="J1" s="146" t="s">
        <v>179</v>
      </c>
    </row>
    <row r="2" spans="1:15" x14ac:dyDescent="0.2">
      <c r="A2" t="s">
        <v>21</v>
      </c>
      <c r="B2" s="41" t="s">
        <v>88</v>
      </c>
      <c r="C2" s="41" t="s">
        <v>87</v>
      </c>
      <c r="D2" s="41"/>
      <c r="E2" s="70"/>
    </row>
    <row r="3" spans="1:15" x14ac:dyDescent="0.2">
      <c r="B3" s="41" t="s">
        <v>68</v>
      </c>
      <c r="C3" s="41" t="s">
        <v>67</v>
      </c>
      <c r="D3" s="41"/>
      <c r="E3" s="530" t="s">
        <v>125</v>
      </c>
      <c r="F3" s="418"/>
      <c r="G3" s="418"/>
      <c r="H3" s="418"/>
      <c r="I3" s="418"/>
      <c r="J3" s="418"/>
    </row>
    <row r="4" spans="1:15" ht="15.75" x14ac:dyDescent="0.25">
      <c r="B4" s="119">
        <v>1</v>
      </c>
      <c r="C4" s="119">
        <v>200</v>
      </c>
      <c r="E4">
        <f>$H$5+$H$4*B4</f>
        <v>50.88679245283015</v>
      </c>
      <c r="G4" s="3" t="s">
        <v>53</v>
      </c>
      <c r="H4" s="42">
        <f>SLOPE(C4:C11,B4:B11)</f>
        <v>515.32075471698113</v>
      </c>
      <c r="J4" s="531" t="s">
        <v>97</v>
      </c>
      <c r="K4" s="531"/>
      <c r="L4" s="531"/>
      <c r="M4" s="531"/>
      <c r="N4" s="531"/>
      <c r="O4" s="531"/>
    </row>
    <row r="5" spans="1:15" ht="12.75" customHeight="1" x14ac:dyDescent="0.25">
      <c r="B5" s="119">
        <v>2</v>
      </c>
      <c r="C5" s="119">
        <v>850</v>
      </c>
      <c r="E5">
        <f t="shared" ref="E5:E11" si="0">$H$5+$H$4*B5</f>
        <v>566.20754716981128</v>
      </c>
      <c r="G5" s="3" t="s">
        <v>54</v>
      </c>
      <c r="H5" s="42">
        <f>INTERCEPT(C4:C11,B4:B11)</f>
        <v>-464.43396226415098</v>
      </c>
      <c r="J5" s="531"/>
      <c r="K5" s="531"/>
      <c r="L5" s="531"/>
      <c r="M5" s="531"/>
      <c r="N5" s="531"/>
      <c r="O5" s="531"/>
    </row>
    <row r="6" spans="1:15" ht="15.75" x14ac:dyDescent="0.25">
      <c r="B6" s="119">
        <v>3</v>
      </c>
      <c r="C6" s="119">
        <v>1300</v>
      </c>
      <c r="E6">
        <f t="shared" si="0"/>
        <v>1081.5283018867924</v>
      </c>
      <c r="G6" s="3"/>
      <c r="H6" s="42"/>
      <c r="J6" s="531"/>
      <c r="K6" s="531"/>
      <c r="L6" s="531"/>
      <c r="M6" s="531"/>
      <c r="N6" s="531"/>
      <c r="O6" s="531"/>
    </row>
    <row r="7" spans="1:15" ht="15.75" x14ac:dyDescent="0.25">
      <c r="B7" s="119">
        <v>4</v>
      </c>
      <c r="C7" s="119">
        <v>1500</v>
      </c>
      <c r="E7">
        <f t="shared" si="0"/>
        <v>1596.8490566037735</v>
      </c>
      <c r="G7" s="3" t="s">
        <v>65</v>
      </c>
      <c r="H7" s="217">
        <f>CORREL(B4:B11,C4:C11)</f>
        <v>0.94210883263974465</v>
      </c>
      <c r="J7" s="531"/>
      <c r="K7" s="531"/>
      <c r="L7" s="531"/>
      <c r="M7" s="531"/>
      <c r="N7" s="531"/>
      <c r="O7" s="531"/>
    </row>
    <row r="8" spans="1:15" ht="15.75" x14ac:dyDescent="0.25">
      <c r="B8" s="119">
        <v>5</v>
      </c>
      <c r="C8" s="119">
        <v>1578</v>
      </c>
      <c r="E8">
        <f t="shared" si="0"/>
        <v>2112.1698113207549</v>
      </c>
      <c r="G8" s="3" t="s">
        <v>66</v>
      </c>
      <c r="H8" s="42">
        <f>POWER(H7,2)</f>
        <v>0.88756905253782237</v>
      </c>
      <c r="J8" s="531"/>
      <c r="K8" s="531"/>
      <c r="L8" s="531"/>
      <c r="M8" s="531"/>
      <c r="N8" s="531"/>
      <c r="O8" s="531"/>
    </row>
    <row r="9" spans="1:15" ht="15.75" x14ac:dyDescent="0.25">
      <c r="B9" s="119">
        <v>8</v>
      </c>
      <c r="C9" s="119">
        <v>3000</v>
      </c>
      <c r="E9">
        <f t="shared" si="0"/>
        <v>3658.132075471698</v>
      </c>
      <c r="G9" s="3" t="s">
        <v>273</v>
      </c>
      <c r="H9" s="218">
        <f>COUNT(B4:B11)</f>
        <v>8</v>
      </c>
      <c r="J9" s="531"/>
      <c r="K9" s="531"/>
      <c r="L9" s="531"/>
      <c r="M9" s="531"/>
      <c r="N9" s="531"/>
      <c r="O9" s="531"/>
    </row>
    <row r="10" spans="1:15" ht="15.75" x14ac:dyDescent="0.25">
      <c r="B10" s="119">
        <v>9</v>
      </c>
      <c r="C10" s="119">
        <v>3600</v>
      </c>
      <c r="E10">
        <f t="shared" si="0"/>
        <v>4173.4528301886794</v>
      </c>
      <c r="G10" s="3" t="s">
        <v>272</v>
      </c>
      <c r="H10" s="43">
        <f>H7/(SQRT((1-H8)/(H9-2)))</f>
        <v>6.8823026275356156</v>
      </c>
      <c r="J10" s="531"/>
      <c r="K10" s="531"/>
      <c r="L10" s="531"/>
      <c r="M10" s="531"/>
      <c r="N10" s="531"/>
      <c r="O10" s="531"/>
    </row>
    <row r="11" spans="1:15" ht="15.75" x14ac:dyDescent="0.25">
      <c r="B11" s="119">
        <v>10</v>
      </c>
      <c r="C11" s="119">
        <v>5900</v>
      </c>
      <c r="E11">
        <f t="shared" si="0"/>
        <v>4688.7735849056608</v>
      </c>
      <c r="G11" s="3" t="s">
        <v>0</v>
      </c>
      <c r="H11" s="43">
        <f>TDIST(H10,H9-1,2)</f>
        <v>2.3504076050841921E-4</v>
      </c>
      <c r="J11" s="531"/>
      <c r="K11" s="531"/>
      <c r="L11" s="531"/>
      <c r="M11" s="531"/>
      <c r="N11" s="531"/>
      <c r="O11" s="531"/>
    </row>
    <row r="12" spans="1:15" x14ac:dyDescent="0.2">
      <c r="J12" s="531"/>
      <c r="K12" s="531"/>
      <c r="L12" s="531"/>
      <c r="M12" s="531"/>
      <c r="N12" s="531"/>
      <c r="O12" s="531"/>
    </row>
    <row r="13" spans="1:15" x14ac:dyDescent="0.2">
      <c r="J13" s="531"/>
      <c r="K13" s="531"/>
      <c r="L13" s="531"/>
      <c r="M13" s="531"/>
      <c r="N13" s="531"/>
      <c r="O13" s="531"/>
    </row>
    <row r="14" spans="1:15" x14ac:dyDescent="0.2">
      <c r="J14" s="531"/>
      <c r="K14" s="531"/>
      <c r="L14" s="531"/>
      <c r="M14" s="531"/>
      <c r="N14" s="531"/>
      <c r="O14" s="531"/>
    </row>
    <row r="15" spans="1:15" x14ac:dyDescent="0.2">
      <c r="J15" s="531"/>
      <c r="K15" s="531"/>
      <c r="L15" s="531"/>
      <c r="M15" s="531"/>
      <c r="N15" s="531"/>
      <c r="O15" s="531"/>
    </row>
    <row r="16" spans="1:15" x14ac:dyDescent="0.2">
      <c r="J16" s="531"/>
      <c r="K16" s="531"/>
      <c r="L16" s="531"/>
      <c r="M16" s="531"/>
      <c r="N16" s="531"/>
      <c r="O16" s="531"/>
    </row>
    <row r="17" spans="1:15" x14ac:dyDescent="0.2">
      <c r="J17" s="531"/>
      <c r="K17" s="531"/>
      <c r="L17" s="531"/>
      <c r="M17" s="531"/>
      <c r="N17" s="531"/>
      <c r="O17" s="531"/>
    </row>
    <row r="18" spans="1:15" x14ac:dyDescent="0.2">
      <c r="J18" s="531"/>
      <c r="K18" s="531"/>
      <c r="L18" s="531"/>
      <c r="M18" s="531"/>
      <c r="N18" s="531"/>
      <c r="O18" s="531"/>
    </row>
    <row r="19" spans="1:15" x14ac:dyDescent="0.2">
      <c r="J19" s="531"/>
      <c r="K19" s="531"/>
      <c r="L19" s="531"/>
      <c r="M19" s="531"/>
      <c r="N19" s="531"/>
      <c r="O19" s="531"/>
    </row>
    <row r="20" spans="1:15" x14ac:dyDescent="0.2">
      <c r="J20" s="531"/>
      <c r="K20" s="531"/>
      <c r="L20" s="531"/>
      <c r="M20" s="531"/>
      <c r="N20" s="531"/>
      <c r="O20" s="531"/>
    </row>
    <row r="21" spans="1:15" x14ac:dyDescent="0.2">
      <c r="J21" s="531"/>
      <c r="K21" s="531"/>
      <c r="L21" s="531"/>
      <c r="M21" s="531"/>
      <c r="N21" s="531"/>
      <c r="O21" s="531"/>
    </row>
    <row r="22" spans="1:15" x14ac:dyDescent="0.2">
      <c r="J22" s="47"/>
      <c r="K22" s="47"/>
      <c r="L22" s="47"/>
      <c r="M22" s="47"/>
      <c r="N22" s="47"/>
      <c r="O22" s="47"/>
    </row>
    <row r="23" spans="1:15" x14ac:dyDescent="0.2">
      <c r="J23" s="531"/>
      <c r="K23" s="531"/>
      <c r="L23" s="531"/>
      <c r="M23" s="531"/>
      <c r="N23" s="531"/>
      <c r="O23" s="531"/>
    </row>
    <row r="24" spans="1:15" x14ac:dyDescent="0.2">
      <c r="J24" s="531"/>
      <c r="K24" s="531"/>
      <c r="L24" s="531"/>
      <c r="M24" s="531"/>
      <c r="N24" s="531"/>
      <c r="O24" s="531"/>
    </row>
    <row r="25" spans="1:15" x14ac:dyDescent="0.2">
      <c r="J25" s="531"/>
      <c r="K25" s="531"/>
      <c r="L25" s="531"/>
      <c r="M25" s="531"/>
      <c r="N25" s="531"/>
      <c r="O25" s="531"/>
    </row>
    <row r="26" spans="1:15" x14ac:dyDescent="0.2">
      <c r="J26" s="531"/>
      <c r="K26" s="531"/>
      <c r="L26" s="531"/>
      <c r="M26" s="531"/>
      <c r="N26" s="531"/>
      <c r="O26" s="531"/>
    </row>
    <row r="27" spans="1:15" x14ac:dyDescent="0.2">
      <c r="J27" s="531"/>
      <c r="K27" s="531"/>
      <c r="L27" s="531"/>
      <c r="M27" s="531"/>
      <c r="N27" s="531"/>
      <c r="O27" s="531"/>
    </row>
    <row r="28" spans="1:15" x14ac:dyDescent="0.2">
      <c r="J28" s="531"/>
      <c r="K28" s="531"/>
      <c r="L28" s="531"/>
      <c r="M28" s="531"/>
      <c r="N28" s="531"/>
      <c r="O28" s="531"/>
    </row>
    <row r="29" spans="1:15" x14ac:dyDescent="0.2">
      <c r="J29" s="531"/>
      <c r="K29" s="531"/>
      <c r="L29" s="531"/>
      <c r="M29" s="531"/>
      <c r="N29" s="531"/>
      <c r="O29" s="531"/>
    </row>
    <row r="31" spans="1:15" x14ac:dyDescent="0.2">
      <c r="A31" s="48"/>
    </row>
  </sheetData>
  <sheetProtection password="C774" sheet="1" objects="1" scenarios="1"/>
  <mergeCells count="3">
    <mergeCell ref="E3:J3"/>
    <mergeCell ref="J4:O21"/>
    <mergeCell ref="J23:O29"/>
  </mergeCells>
  <phoneticPr fontId="0" type="noConversion"/>
  <hyperlinks>
    <hyperlink ref="J1" location="'Main Menu'!A1" display="Main Menu"/>
  </hyperlinks>
  <pageMargins left="0.75" right="0.75" top="1" bottom="1" header="0.5" footer="0.5"/>
  <pageSetup orientation="portrait" horizontalDpi="300" verticalDpi="300"/>
  <headerFooter alignWithMargins="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0"/>
  <sheetViews>
    <sheetView workbookViewId="0">
      <selection activeCell="F5" sqref="F5"/>
    </sheetView>
  </sheetViews>
  <sheetFormatPr defaultColWidth="8.7109375" defaultRowHeight="12.75" x14ac:dyDescent="0.2"/>
  <cols>
    <col min="1" max="1" width="7.28515625" style="138" customWidth="1"/>
    <col min="2" max="2" width="11.140625" style="138" customWidth="1"/>
    <col min="3" max="3" width="11.7109375" style="138" customWidth="1"/>
    <col min="4" max="4" width="12.7109375" style="138" customWidth="1"/>
    <col min="5" max="5" width="11.28515625" style="138" customWidth="1"/>
    <col min="6" max="6" width="4.7109375" style="138" customWidth="1"/>
    <col min="7" max="7" width="16.42578125" style="138" customWidth="1"/>
    <col min="8" max="10" width="8.7109375" style="138" customWidth="1"/>
    <col min="11" max="11" width="10.42578125" style="138" customWidth="1"/>
    <col min="12" max="12" width="12.42578125" style="138" customWidth="1"/>
    <col min="13" max="16384" width="8.7109375" style="138"/>
  </cols>
  <sheetData>
    <row r="1" spans="1:14" x14ac:dyDescent="0.2">
      <c r="A1" s="534" t="s">
        <v>271</v>
      </c>
      <c r="B1" s="535"/>
      <c r="C1" s="535"/>
      <c r="D1" s="535"/>
      <c r="E1" s="535"/>
      <c r="F1" s="535"/>
      <c r="G1" s="535"/>
      <c r="H1" s="535"/>
      <c r="I1" s="535"/>
      <c r="J1" s="535"/>
      <c r="K1" s="535"/>
      <c r="L1" s="535"/>
      <c r="M1" s="536"/>
      <c r="N1" s="56"/>
    </row>
    <row r="2" spans="1:14" x14ac:dyDescent="0.2">
      <c r="A2" s="537"/>
      <c r="B2" s="538"/>
      <c r="C2" s="538"/>
      <c r="D2" s="538"/>
      <c r="E2" s="538"/>
      <c r="F2" s="538"/>
      <c r="G2" s="538"/>
      <c r="H2" s="538"/>
      <c r="I2" s="538"/>
      <c r="J2" s="538"/>
      <c r="K2" s="538"/>
      <c r="L2" s="538"/>
      <c r="M2" s="539"/>
      <c r="N2" s="56"/>
    </row>
    <row r="3" spans="1:14" ht="12.75" customHeight="1" x14ac:dyDescent="0.2">
      <c r="A3" s="537"/>
      <c r="B3" s="538"/>
      <c r="C3" s="538"/>
      <c r="D3" s="538"/>
      <c r="E3" s="538"/>
      <c r="F3" s="538"/>
      <c r="G3" s="538"/>
      <c r="H3" s="538"/>
      <c r="I3" s="538"/>
      <c r="J3" s="538"/>
      <c r="K3" s="538"/>
      <c r="L3" s="538"/>
      <c r="M3" s="539"/>
      <c r="N3" s="56"/>
    </row>
    <row r="4" spans="1:14" x14ac:dyDescent="0.2">
      <c r="A4" s="540"/>
      <c r="B4" s="541"/>
      <c r="C4" s="541"/>
      <c r="D4" s="541"/>
      <c r="E4" s="541"/>
      <c r="F4" s="541"/>
      <c r="G4" s="541"/>
      <c r="H4" s="541"/>
      <c r="I4" s="541"/>
      <c r="J4" s="541"/>
      <c r="K4" s="541"/>
      <c r="L4" s="541"/>
      <c r="M4" s="542"/>
      <c r="N4" s="56"/>
    </row>
    <row r="5" spans="1:14" ht="26.25" customHeight="1" x14ac:dyDescent="0.2">
      <c r="B5" s="195"/>
      <c r="C5" s="196"/>
      <c r="D5" s="196"/>
      <c r="E5" s="196"/>
      <c r="F5" s="196"/>
      <c r="G5" s="146" t="s">
        <v>179</v>
      </c>
      <c r="I5" s="532" t="s">
        <v>259</v>
      </c>
      <c r="J5" s="533"/>
      <c r="K5" s="533"/>
    </row>
    <row r="6" spans="1:14" s="193" customFormat="1" ht="20.25" customHeight="1" x14ac:dyDescent="0.2">
      <c r="B6" s="195"/>
      <c r="C6" s="196"/>
      <c r="D6" s="196"/>
      <c r="E6" s="196"/>
      <c r="F6" s="196"/>
      <c r="G6" s="196"/>
      <c r="K6" s="197"/>
    </row>
    <row r="7" spans="1:14" s="59" customFormat="1" x14ac:dyDescent="0.2">
      <c r="B7" s="186" t="s">
        <v>26</v>
      </c>
      <c r="C7" s="186" t="s">
        <v>154</v>
      </c>
      <c r="D7" s="186" t="s">
        <v>155</v>
      </c>
      <c r="E7" s="186" t="s">
        <v>156</v>
      </c>
    </row>
    <row r="8" spans="1:14" x14ac:dyDescent="0.2">
      <c r="B8" s="187">
        <v>0.7</v>
      </c>
      <c r="C8" s="187">
        <v>1.1000000000000001</v>
      </c>
      <c r="D8" s="187">
        <v>1.5</v>
      </c>
      <c r="E8" s="187">
        <v>1.2</v>
      </c>
      <c r="G8" s="181"/>
      <c r="H8" s="181"/>
      <c r="I8" s="181"/>
      <c r="J8" s="181"/>
      <c r="K8" s="181"/>
      <c r="L8" s="181"/>
      <c r="M8" s="181"/>
    </row>
    <row r="9" spans="1:14" x14ac:dyDescent="0.2">
      <c r="B9" s="187">
        <v>1.2</v>
      </c>
      <c r="C9" s="187">
        <v>1.3</v>
      </c>
      <c r="D9" s="187">
        <v>1.1000000000000001</v>
      </c>
      <c r="E9" s="187">
        <v>0.8</v>
      </c>
      <c r="G9" s="194"/>
      <c r="H9" s="194"/>
      <c r="I9" s="194"/>
      <c r="J9" s="194"/>
      <c r="K9" s="194"/>
      <c r="L9" s="194"/>
      <c r="M9" s="194"/>
    </row>
    <row r="10" spans="1:14" x14ac:dyDescent="0.2">
      <c r="B10" s="187">
        <v>1.1000000000000001</v>
      </c>
      <c r="C10" s="187">
        <v>0.9</v>
      </c>
      <c r="D10" s="187">
        <v>0.8</v>
      </c>
      <c r="E10" s="187">
        <v>0.7</v>
      </c>
    </row>
    <row r="11" spans="1:14" x14ac:dyDescent="0.2">
      <c r="B11" s="187">
        <v>0.7</v>
      </c>
      <c r="C11" s="187">
        <v>0.7</v>
      </c>
      <c r="D11" s="187">
        <v>0.9</v>
      </c>
      <c r="E11" s="187">
        <v>0.7</v>
      </c>
    </row>
    <row r="12" spans="1:14" x14ac:dyDescent="0.2">
      <c r="B12" s="187">
        <v>1</v>
      </c>
      <c r="C12" s="187">
        <v>0.8</v>
      </c>
      <c r="D12" s="187">
        <v>1.1000000000000001</v>
      </c>
      <c r="E12" s="187">
        <v>8.4</v>
      </c>
    </row>
    <row r="13" spans="1:14" x14ac:dyDescent="0.2">
      <c r="B13" s="187">
        <v>0.5</v>
      </c>
      <c r="C13" s="187">
        <v>1.4</v>
      </c>
      <c r="D13" s="187">
        <v>0.9</v>
      </c>
      <c r="E13" s="187">
        <v>1.8</v>
      </c>
    </row>
    <row r="14" spans="1:14" x14ac:dyDescent="0.2">
      <c r="B14" s="187">
        <v>1.6</v>
      </c>
      <c r="C14" s="187">
        <v>0.5</v>
      </c>
      <c r="D14" s="187">
        <v>7</v>
      </c>
      <c r="E14" s="187">
        <v>0.8</v>
      </c>
    </row>
    <row r="15" spans="1:14" x14ac:dyDescent="0.2">
      <c r="B15" s="187">
        <v>0.8</v>
      </c>
      <c r="C15" s="187">
        <v>1.1000000000000001</v>
      </c>
      <c r="D15" s="187">
        <v>1.4</v>
      </c>
      <c r="E15" s="187">
        <v>1</v>
      </c>
    </row>
    <row r="16" spans="1:14" x14ac:dyDescent="0.2">
      <c r="B16" s="187">
        <v>0.6</v>
      </c>
      <c r="C16" s="187">
        <v>2</v>
      </c>
      <c r="D16" s="187">
        <v>0.8</v>
      </c>
      <c r="E16" s="187">
        <v>0.7</v>
      </c>
    </row>
    <row r="17" spans="2:13" x14ac:dyDescent="0.2">
      <c r="B17" s="187">
        <v>0.6</v>
      </c>
      <c r="C17" s="187">
        <v>0.8</v>
      </c>
      <c r="D17" s="187">
        <v>1.1000000000000001</v>
      </c>
      <c r="E17" s="187">
        <v>2.8</v>
      </c>
      <c r="G17" s="189" t="s">
        <v>157</v>
      </c>
      <c r="H17" s="189"/>
      <c r="I17" s="189"/>
      <c r="J17" s="189"/>
      <c r="K17" s="189"/>
      <c r="L17" s="189"/>
      <c r="M17" s="189"/>
    </row>
    <row r="18" spans="2:13" x14ac:dyDescent="0.2">
      <c r="B18" s="187">
        <v>0.6</v>
      </c>
      <c r="C18" s="187">
        <v>0.7</v>
      </c>
      <c r="D18" s="187">
        <v>0.6</v>
      </c>
      <c r="E18" s="187">
        <v>1.5</v>
      </c>
      <c r="G18" s="189"/>
      <c r="H18" s="189"/>
      <c r="I18" s="189"/>
      <c r="J18" s="189"/>
      <c r="K18" s="189"/>
      <c r="L18" s="189"/>
      <c r="M18" s="189"/>
    </row>
    <row r="19" spans="2:13" ht="13.5" thickBot="1" x14ac:dyDescent="0.25">
      <c r="B19" s="187">
        <v>1.3</v>
      </c>
      <c r="C19" s="187">
        <v>1.4</v>
      </c>
      <c r="D19" s="187">
        <v>1.2</v>
      </c>
      <c r="E19" s="187">
        <v>0.6</v>
      </c>
      <c r="G19" s="189" t="s">
        <v>158</v>
      </c>
      <c r="H19" s="189"/>
      <c r="I19" s="189"/>
      <c r="J19" s="189"/>
      <c r="K19" s="189"/>
      <c r="L19" s="189"/>
      <c r="M19" s="189"/>
    </row>
    <row r="20" spans="2:13" x14ac:dyDescent="0.2">
      <c r="B20" s="187">
        <v>0.5</v>
      </c>
      <c r="C20" s="187">
        <v>1.1000000000000001</v>
      </c>
      <c r="D20" s="187">
        <v>0.6</v>
      </c>
      <c r="E20" s="187">
        <v>1.3</v>
      </c>
      <c r="G20" s="190" t="s">
        <v>159</v>
      </c>
      <c r="H20" s="190" t="s">
        <v>160</v>
      </c>
      <c r="I20" s="190" t="s">
        <v>161</v>
      </c>
      <c r="J20" s="190" t="s">
        <v>162</v>
      </c>
      <c r="K20" s="190" t="s">
        <v>64</v>
      </c>
      <c r="L20" s="189"/>
      <c r="M20" s="189"/>
    </row>
    <row r="21" spans="2:13" x14ac:dyDescent="0.2">
      <c r="B21" s="187">
        <v>1</v>
      </c>
      <c r="C21" s="187">
        <v>1.5</v>
      </c>
      <c r="D21" s="187">
        <v>1.2</v>
      </c>
      <c r="E21" s="187">
        <v>0.5</v>
      </c>
      <c r="G21" s="191" t="s">
        <v>26</v>
      </c>
      <c r="H21" s="191">
        <v>25</v>
      </c>
      <c r="I21" s="191">
        <v>20.7</v>
      </c>
      <c r="J21" s="191">
        <v>0.82799999999999996</v>
      </c>
      <c r="K21" s="191">
        <v>7.6266666666666552E-2</v>
      </c>
      <c r="L21" s="189"/>
      <c r="M21" s="189"/>
    </row>
    <row r="22" spans="2:13" x14ac:dyDescent="0.2">
      <c r="B22" s="187">
        <v>1</v>
      </c>
      <c r="C22" s="187">
        <v>1</v>
      </c>
      <c r="D22" s="187">
        <v>0.6</v>
      </c>
      <c r="E22" s="187">
        <v>1.2</v>
      </c>
      <c r="G22" s="191" t="s">
        <v>154</v>
      </c>
      <c r="H22" s="191">
        <v>25</v>
      </c>
      <c r="I22" s="191">
        <v>25.3</v>
      </c>
      <c r="J22" s="191">
        <v>1.0119999999999996</v>
      </c>
      <c r="K22" s="191">
        <v>0.12610000000000068</v>
      </c>
      <c r="L22" s="189"/>
      <c r="M22" s="189"/>
    </row>
    <row r="23" spans="2:13" x14ac:dyDescent="0.2">
      <c r="B23" s="187">
        <v>0.8</v>
      </c>
      <c r="C23" s="187">
        <v>0.9</v>
      </c>
      <c r="D23" s="187">
        <v>0.8</v>
      </c>
      <c r="E23" s="187">
        <v>8.1999999999999993</v>
      </c>
      <c r="G23" s="191" t="s">
        <v>155</v>
      </c>
      <c r="H23" s="191">
        <v>25</v>
      </c>
      <c r="I23" s="191">
        <v>51</v>
      </c>
      <c r="J23" s="191">
        <v>2.04</v>
      </c>
      <c r="K23" s="191">
        <v>8.7733333333333317</v>
      </c>
      <c r="L23" s="189"/>
      <c r="M23" s="189"/>
    </row>
    <row r="24" spans="2:13" ht="13.5" thickBot="1" x14ac:dyDescent="0.25">
      <c r="B24" s="187">
        <v>0.8</v>
      </c>
      <c r="C24" s="187">
        <v>0.9</v>
      </c>
      <c r="D24" s="187">
        <v>0.8</v>
      </c>
      <c r="E24" s="187">
        <v>0.4</v>
      </c>
      <c r="G24" s="192" t="s">
        <v>156</v>
      </c>
      <c r="H24" s="192">
        <v>25</v>
      </c>
      <c r="I24" s="192">
        <v>49.7</v>
      </c>
      <c r="J24" s="192">
        <v>1.9880000000000002</v>
      </c>
      <c r="K24" s="192">
        <v>8.2019333333333346</v>
      </c>
      <c r="L24" s="189"/>
      <c r="M24" s="189"/>
    </row>
    <row r="25" spans="2:13" x14ac:dyDescent="0.2">
      <c r="B25" s="187">
        <v>0.6</v>
      </c>
      <c r="C25" s="187">
        <v>0.6</v>
      </c>
      <c r="D25" s="187">
        <v>1.3</v>
      </c>
      <c r="E25" s="187">
        <v>0.6</v>
      </c>
      <c r="G25" s="189"/>
      <c r="H25" s="189"/>
      <c r="I25" s="189"/>
      <c r="J25" s="189"/>
      <c r="K25" s="189"/>
      <c r="L25" s="189"/>
      <c r="M25" s="189"/>
    </row>
    <row r="26" spans="2:13" x14ac:dyDescent="0.2">
      <c r="B26" s="187">
        <v>0.5</v>
      </c>
      <c r="C26" s="187">
        <v>0.9</v>
      </c>
      <c r="D26" s="187">
        <v>1.3</v>
      </c>
      <c r="E26" s="187">
        <v>1.6</v>
      </c>
      <c r="G26" s="189"/>
      <c r="H26" s="189"/>
      <c r="I26" s="189"/>
      <c r="J26" s="189"/>
      <c r="K26" s="189"/>
      <c r="L26" s="189"/>
      <c r="M26" s="189"/>
    </row>
    <row r="27" spans="2:13" ht="13.5" thickBot="1" x14ac:dyDescent="0.25">
      <c r="B27" s="187">
        <v>0.9</v>
      </c>
      <c r="C27" s="187">
        <v>0.9</v>
      </c>
      <c r="D27" s="187">
        <v>1.5</v>
      </c>
      <c r="E27" s="187">
        <v>0.5</v>
      </c>
      <c r="G27" s="189" t="s">
        <v>163</v>
      </c>
      <c r="H27" s="189"/>
      <c r="I27" s="189"/>
      <c r="J27" s="189"/>
      <c r="K27" s="189"/>
      <c r="L27" s="189"/>
      <c r="M27" s="189"/>
    </row>
    <row r="28" spans="2:13" x14ac:dyDescent="0.2">
      <c r="B28" s="187">
        <v>0.7</v>
      </c>
      <c r="C28" s="187">
        <v>1.2</v>
      </c>
      <c r="D28" s="187">
        <v>1.5</v>
      </c>
      <c r="E28" s="187">
        <v>11.4</v>
      </c>
      <c r="G28" s="190" t="s">
        <v>164</v>
      </c>
      <c r="H28" s="190" t="s">
        <v>165</v>
      </c>
      <c r="I28" s="190" t="s">
        <v>166</v>
      </c>
      <c r="J28" s="190" t="s">
        <v>167</v>
      </c>
      <c r="K28" s="190" t="s">
        <v>168</v>
      </c>
      <c r="L28" s="190" t="s">
        <v>169</v>
      </c>
      <c r="M28" s="190" t="s">
        <v>170</v>
      </c>
    </row>
    <row r="29" spans="2:13" x14ac:dyDescent="0.2">
      <c r="B29" s="187">
        <v>0.7</v>
      </c>
      <c r="C29" s="187">
        <v>1.2</v>
      </c>
      <c r="D29" s="187">
        <v>0.4</v>
      </c>
      <c r="E29" s="187">
        <v>0.8</v>
      </c>
      <c r="G29" s="191" t="s">
        <v>171</v>
      </c>
      <c r="H29" s="191">
        <v>30.37789999999984</v>
      </c>
      <c r="I29" s="191">
        <v>3</v>
      </c>
      <c r="J29" s="191">
        <v>10.125966666666613</v>
      </c>
      <c r="K29" s="191">
        <v>2.3579422077934558</v>
      </c>
      <c r="L29" s="191">
        <v>7.6478691424391704E-2</v>
      </c>
      <c r="M29" s="191">
        <v>2.6993926036405256</v>
      </c>
    </row>
    <row r="30" spans="2:13" x14ac:dyDescent="0.2">
      <c r="B30" s="187">
        <v>0.7</v>
      </c>
      <c r="C30" s="187">
        <v>1.3</v>
      </c>
      <c r="D30" s="187">
        <v>12.9</v>
      </c>
      <c r="E30" s="187">
        <v>0.7</v>
      </c>
      <c r="G30" s="191" t="s">
        <v>172</v>
      </c>
      <c r="H30" s="191">
        <v>412.26319999999998</v>
      </c>
      <c r="I30" s="191">
        <v>96</v>
      </c>
      <c r="J30" s="191">
        <v>4.2944083333333332</v>
      </c>
      <c r="K30" s="191"/>
      <c r="L30" s="191"/>
      <c r="M30" s="191"/>
    </row>
    <row r="31" spans="2:13" x14ac:dyDescent="0.2">
      <c r="B31" s="187">
        <v>0.7</v>
      </c>
      <c r="C31" s="187">
        <v>0.4</v>
      </c>
      <c r="D31" s="187">
        <v>1.1000000000000001</v>
      </c>
      <c r="E31" s="187">
        <v>0.6</v>
      </c>
      <c r="G31" s="191"/>
      <c r="H31" s="191"/>
      <c r="I31" s="191"/>
      <c r="J31" s="191"/>
      <c r="K31" s="191"/>
      <c r="L31" s="191"/>
      <c r="M31" s="191"/>
    </row>
    <row r="32" spans="2:13" ht="13.5" thickBot="1" x14ac:dyDescent="0.25">
      <c r="B32" s="187">
        <v>1.1000000000000001</v>
      </c>
      <c r="C32" s="187">
        <v>0.7</v>
      </c>
      <c r="D32" s="187">
        <v>8.6</v>
      </c>
      <c r="E32" s="187">
        <v>0.9</v>
      </c>
      <c r="G32" s="192" t="s">
        <v>173</v>
      </c>
      <c r="H32" s="192">
        <v>442.64109999999982</v>
      </c>
      <c r="I32" s="192">
        <v>99</v>
      </c>
      <c r="J32" s="192"/>
      <c r="K32" s="192"/>
      <c r="L32" s="192"/>
      <c r="M32" s="192"/>
    </row>
    <row r="33" spans="1:5" x14ac:dyDescent="0.2">
      <c r="A33" s="188" t="s">
        <v>230</v>
      </c>
      <c r="B33" s="23">
        <f>AVERAGE(B8:B32)</f>
        <v>0.82799999999999996</v>
      </c>
      <c r="C33" s="23">
        <f>AVERAGE(C8:C32)</f>
        <v>1.0119999999999996</v>
      </c>
      <c r="D33" s="23">
        <f>AVERAGE(D8:D32)</f>
        <v>2.0400000000000005</v>
      </c>
      <c r="E33" s="23">
        <f>AVERAGE(E8:E32)</f>
        <v>1.9880000000000002</v>
      </c>
    </row>
    <row r="34" spans="1:5" x14ac:dyDescent="0.2">
      <c r="B34" s="187"/>
      <c r="C34" s="187"/>
      <c r="D34" s="187"/>
      <c r="E34" s="187"/>
    </row>
    <row r="35" spans="1:5" x14ac:dyDescent="0.2">
      <c r="B35" s="187"/>
      <c r="C35" s="187"/>
      <c r="D35" s="187"/>
      <c r="E35" s="187"/>
    </row>
    <row r="36" spans="1:5" x14ac:dyDescent="0.2">
      <c r="B36" s="187"/>
      <c r="C36" s="187"/>
      <c r="D36" s="187"/>
      <c r="E36" s="187"/>
    </row>
    <row r="37" spans="1:5" x14ac:dyDescent="0.2">
      <c r="B37" s="187"/>
      <c r="C37" s="187"/>
      <c r="D37" s="187"/>
      <c r="E37" s="187"/>
    </row>
    <row r="38" spans="1:5" x14ac:dyDescent="0.2">
      <c r="B38" s="187"/>
      <c r="C38" s="187"/>
      <c r="E38" s="187"/>
    </row>
    <row r="39" spans="1:5" x14ac:dyDescent="0.2">
      <c r="B39" s="187"/>
      <c r="C39" s="187"/>
      <c r="E39" s="187"/>
    </row>
    <row r="53" spans="2:8" x14ac:dyDescent="0.2">
      <c r="E53" s="129"/>
    </row>
    <row r="57" spans="2:8" x14ac:dyDescent="0.2">
      <c r="C57" s="63"/>
      <c r="E57" s="63"/>
    </row>
    <row r="58" spans="2:8" x14ac:dyDescent="0.2">
      <c r="D58" s="129"/>
    </row>
    <row r="59" spans="2:8" x14ac:dyDescent="0.2">
      <c r="C59"/>
      <c r="D59" s="63"/>
      <c r="E59"/>
      <c r="G59" s="139"/>
    </row>
    <row r="60" spans="2:8" x14ac:dyDescent="0.2">
      <c r="C60"/>
      <c r="E60"/>
      <c r="G60" s="59"/>
    </row>
    <row r="61" spans="2:8" ht="13.5" thickBot="1" x14ac:dyDescent="0.25">
      <c r="C61"/>
      <c r="D61"/>
      <c r="E61"/>
      <c r="G61" s="59"/>
      <c r="H61" s="43"/>
    </row>
    <row r="62" spans="2:8" x14ac:dyDescent="0.2">
      <c r="B62" s="129"/>
      <c r="C62" s="140"/>
      <c r="D62"/>
      <c r="E62" s="140"/>
      <c r="G62" s="59"/>
      <c r="H62" s="43"/>
    </row>
    <row r="63" spans="2:8" ht="13.5" thickBot="1" x14ac:dyDescent="0.25">
      <c r="B63" s="63"/>
      <c r="C63" s="141"/>
      <c r="D63"/>
      <c r="E63" s="141"/>
      <c r="F63" s="59"/>
    </row>
    <row r="64" spans="2:8" x14ac:dyDescent="0.2">
      <c r="C64" s="141"/>
      <c r="D64" s="140"/>
      <c r="E64" s="141"/>
    </row>
    <row r="65" spans="2:7" x14ac:dyDescent="0.2">
      <c r="B65"/>
      <c r="C65" s="141"/>
      <c r="D65" s="141"/>
      <c r="E65" s="141"/>
      <c r="F65"/>
      <c r="G65"/>
    </row>
    <row r="66" spans="2:7" ht="13.5" thickBot="1" x14ac:dyDescent="0.25">
      <c r="B66"/>
      <c r="C66" s="142"/>
      <c r="D66" s="141"/>
      <c r="E66" s="142"/>
      <c r="F66"/>
      <c r="G66"/>
    </row>
    <row r="67" spans="2:7" ht="13.5" thickBot="1" x14ac:dyDescent="0.25">
      <c r="B67"/>
      <c r="C67"/>
      <c r="D67" s="141"/>
      <c r="E67"/>
      <c r="F67"/>
      <c r="G67"/>
    </row>
    <row r="68" spans="2:7" ht="13.5" thickBot="1" x14ac:dyDescent="0.25">
      <c r="B68" s="140"/>
      <c r="C68"/>
      <c r="D68" s="142"/>
      <c r="E68"/>
      <c r="F68"/>
      <c r="G68"/>
    </row>
    <row r="69" spans="2:7" ht="13.5" thickBot="1" x14ac:dyDescent="0.25">
      <c r="B69" s="141"/>
      <c r="C69"/>
      <c r="D69"/>
      <c r="E69"/>
      <c r="F69"/>
      <c r="G69"/>
    </row>
    <row r="70" spans="2:7" x14ac:dyDescent="0.2">
      <c r="B70" s="141"/>
      <c r="C70" s="140"/>
      <c r="D70"/>
      <c r="E70" s="140"/>
      <c r="F70"/>
      <c r="G70"/>
    </row>
    <row r="71" spans="2:7" ht="13.5" thickBot="1" x14ac:dyDescent="0.25">
      <c r="B71" s="141"/>
      <c r="C71" s="141"/>
      <c r="D71"/>
      <c r="E71" s="141"/>
      <c r="F71"/>
      <c r="G71"/>
    </row>
    <row r="72" spans="2:7" ht="13.5" thickBot="1" x14ac:dyDescent="0.25">
      <c r="B72" s="142"/>
      <c r="C72" s="141"/>
      <c r="D72" s="140"/>
      <c r="E72" s="141"/>
      <c r="F72"/>
      <c r="G72"/>
    </row>
    <row r="73" spans="2:7" x14ac:dyDescent="0.2">
      <c r="B73"/>
      <c r="C73" s="141"/>
      <c r="D73" s="141"/>
      <c r="E73" s="141"/>
      <c r="F73"/>
      <c r="G73"/>
    </row>
    <row r="74" spans="2:7" ht="13.5" thickBot="1" x14ac:dyDescent="0.25">
      <c r="B74"/>
      <c r="C74" s="142"/>
      <c r="D74" s="141"/>
      <c r="E74" s="142"/>
      <c r="F74"/>
      <c r="G74"/>
    </row>
    <row r="75" spans="2:7" ht="13.5" thickBot="1" x14ac:dyDescent="0.25">
      <c r="B75"/>
      <c r="D75" s="141"/>
      <c r="F75"/>
      <c r="G75"/>
    </row>
    <row r="76" spans="2:7" ht="13.5" thickBot="1" x14ac:dyDescent="0.25">
      <c r="B76" s="140"/>
      <c r="D76" s="142"/>
      <c r="F76" s="140"/>
      <c r="G76" s="140"/>
    </row>
    <row r="77" spans="2:7" x14ac:dyDescent="0.2">
      <c r="B77" s="141"/>
      <c r="F77" s="141"/>
      <c r="G77" s="141"/>
    </row>
    <row r="78" spans="2:7" x14ac:dyDescent="0.2">
      <c r="B78" s="141"/>
      <c r="F78" s="141"/>
      <c r="G78" s="141"/>
    </row>
    <row r="79" spans="2:7" x14ac:dyDescent="0.2">
      <c r="B79" s="141"/>
      <c r="F79" s="141"/>
      <c r="G79" s="141"/>
    </row>
    <row r="80" spans="2:7" ht="13.5" thickBot="1" x14ac:dyDescent="0.25">
      <c r="B80" s="142"/>
      <c r="F80" s="142"/>
      <c r="G80" s="142"/>
    </row>
    <row r="107" ht="12" customHeight="1" x14ac:dyDescent="0.2"/>
    <row r="108" ht="12" customHeight="1" x14ac:dyDescent="0.2"/>
    <row r="109" ht="12" customHeight="1" x14ac:dyDescent="0.2"/>
    <row r="110" ht="12" customHeight="1" x14ac:dyDescent="0.2"/>
  </sheetData>
  <sheetProtection password="C774" sheet="1" objects="1" scenarios="1"/>
  <mergeCells count="2">
    <mergeCell ref="I5:K5"/>
    <mergeCell ref="A1:M4"/>
  </mergeCells>
  <phoneticPr fontId="43" type="noConversion"/>
  <hyperlinks>
    <hyperlink ref="G5" location="'Main Menu'!A1" display="Main Menu"/>
  </hyperlinks>
  <pageMargins left="0.75" right="0.75" top="1" bottom="1" header="0.5" footer="0.5"/>
  <pageSetup orientation="portrait" verticalDpi="0"/>
  <headerFooter alignWithMargins="0"/>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348"/>
  <sheetViews>
    <sheetView workbookViewId="0">
      <selection activeCell="J1" sqref="J1:K1"/>
    </sheetView>
  </sheetViews>
  <sheetFormatPr defaultColWidth="9.140625" defaultRowHeight="11.25" x14ac:dyDescent="0.2"/>
  <cols>
    <col min="1" max="11" width="6.7109375" style="4" customWidth="1"/>
    <col min="12" max="12" width="5.28515625" style="4" customWidth="1"/>
    <col min="13" max="13" width="7.42578125" style="4" customWidth="1"/>
    <col min="14" max="14" width="6.7109375" style="4" customWidth="1"/>
    <col min="15" max="16384" width="9.140625" style="4"/>
  </cols>
  <sheetData>
    <row r="1" spans="1:14" ht="18.75" customHeight="1" x14ac:dyDescent="0.25">
      <c r="A1" s="422" t="s">
        <v>22</v>
      </c>
      <c r="B1" s="423"/>
      <c r="C1" s="423"/>
      <c r="D1" s="424"/>
      <c r="J1" s="554" t="s">
        <v>179</v>
      </c>
      <c r="K1" s="448"/>
    </row>
    <row r="2" spans="1:14" ht="15" x14ac:dyDescent="0.2">
      <c r="A2" s="19" t="s">
        <v>23</v>
      </c>
      <c r="B2" s="19"/>
      <c r="C2" s="19"/>
      <c r="L2" s="543"/>
      <c r="M2" s="543"/>
    </row>
    <row r="3" spans="1:14" x14ac:dyDescent="0.2">
      <c r="A3" s="544" t="s">
        <v>24</v>
      </c>
      <c r="B3" s="545"/>
      <c r="C3" s="545"/>
      <c r="D3" s="545"/>
      <c r="E3" s="545"/>
      <c r="F3" s="545"/>
      <c r="G3" s="545"/>
      <c r="H3" s="545"/>
      <c r="I3" s="545"/>
      <c r="J3" s="545"/>
      <c r="K3" s="546"/>
      <c r="L3" s="543"/>
      <c r="M3" s="543"/>
    </row>
    <row r="4" spans="1:14" x14ac:dyDescent="0.2">
      <c r="A4" s="547"/>
      <c r="B4" s="548"/>
      <c r="C4" s="548"/>
      <c r="D4" s="548"/>
      <c r="E4" s="548"/>
      <c r="F4" s="548"/>
      <c r="G4" s="548"/>
      <c r="H4" s="548"/>
      <c r="I4" s="548"/>
      <c r="J4" s="548"/>
      <c r="K4" s="549"/>
      <c r="L4" s="543"/>
      <c r="M4" s="543"/>
    </row>
    <row r="5" spans="1:14" ht="11.25" customHeight="1" x14ac:dyDescent="0.2">
      <c r="A5" s="550"/>
      <c r="B5" s="551"/>
      <c r="C5" s="551"/>
      <c r="D5" s="551"/>
      <c r="E5" s="551"/>
      <c r="F5" s="551"/>
      <c r="G5" s="551"/>
      <c r="H5" s="551"/>
      <c r="I5" s="551"/>
      <c r="J5" s="551"/>
      <c r="K5" s="552"/>
      <c r="L5" s="543"/>
      <c r="M5" s="543"/>
    </row>
    <row r="6" spans="1:14" ht="32.25" customHeight="1" x14ac:dyDescent="0.2">
      <c r="A6" s="553"/>
      <c r="B6" s="553"/>
      <c r="C6" s="553"/>
      <c r="D6" s="553"/>
      <c r="E6" s="553"/>
      <c r="F6" s="553"/>
      <c r="G6" s="553"/>
      <c r="H6" s="553"/>
      <c r="I6" s="553"/>
      <c r="J6" s="553"/>
      <c r="K6" s="553"/>
    </row>
    <row r="7" spans="1:14" ht="63.4" customHeight="1" x14ac:dyDescent="0.2">
      <c r="A7" s="25" t="s">
        <v>8</v>
      </c>
      <c r="B7" s="25"/>
      <c r="C7" s="26" t="s">
        <v>9</v>
      </c>
      <c r="D7" s="26" t="s">
        <v>10</v>
      </c>
      <c r="E7" s="26" t="s">
        <v>11</v>
      </c>
      <c r="F7" s="26" t="s">
        <v>12</v>
      </c>
      <c r="G7" s="26" t="s">
        <v>13</v>
      </c>
      <c r="H7" s="26" t="s">
        <v>14</v>
      </c>
      <c r="I7" s="26" t="s">
        <v>15</v>
      </c>
      <c r="J7" s="26" t="s">
        <v>16</v>
      </c>
      <c r="K7" s="26" t="s">
        <v>17</v>
      </c>
      <c r="M7" s="5" t="s">
        <v>18</v>
      </c>
      <c r="N7" s="5" t="s">
        <v>19</v>
      </c>
    </row>
    <row r="8" spans="1:14" ht="12" x14ac:dyDescent="0.2">
      <c r="A8" s="27">
        <v>0</v>
      </c>
      <c r="B8" s="28"/>
      <c r="C8" s="29">
        <v>100</v>
      </c>
      <c r="D8" s="29">
        <v>6</v>
      </c>
      <c r="E8" s="29">
        <v>4</v>
      </c>
      <c r="F8" s="30">
        <f xml:space="preserve"> IF(SUM(C8)&lt;=0,"",C8 - 0.5*E8)</f>
        <v>98</v>
      </c>
      <c r="G8" s="31">
        <f>IF(SUM(C8)&lt;=0,"",D8/F8)</f>
        <v>6.1224489795918366E-2</v>
      </c>
      <c r="H8" s="31">
        <f>IF(SUM(C8)&lt;=0,"",1-G8)</f>
        <v>0.93877551020408168</v>
      </c>
      <c r="I8" s="32">
        <f>IF(SUM(C8)&lt;=0,"",H8)</f>
        <v>0.93877551020408168</v>
      </c>
      <c r="J8" s="33">
        <f t="shared" ref="J8:J55" si="0">IF(SUM(C8)&lt;=0,"", ($N8/($N8+1.96^2))*ABS($I8 + 1.96^2/2/$N8 - 1.96*SQRT($I8*(1-$I8)/$N8 +1.96^2/4/$N8/$N8)))</f>
        <v>0.87280757114248475</v>
      </c>
      <c r="K8" s="33">
        <f t="shared" ref="K8:K55" si="1">IF(SUM(C8)&lt;=0,"", ($N8/($N8+1.96^2))*ABS($I8 + 1.96^2/2/$N8 + 1.96*SQRT($I8*(1-$I8)/$N8 +1.96^2/4/$N8/$N8)))</f>
        <v>0.97164106281456242</v>
      </c>
      <c r="M8" s="7">
        <f>IF(SUM(C8)&lt;=0,"",G8/H8/F8)</f>
        <v>6.6548358473824309E-4</v>
      </c>
      <c r="N8" s="8">
        <f t="shared" ref="N8:N55" si="2" xml:space="preserve"> IF(SUM(C8)&lt;=0,"", (1-I8)/I8/M8)</f>
        <v>97.999999999999943</v>
      </c>
    </row>
    <row r="9" spans="1:14" ht="12" x14ac:dyDescent="0.2">
      <c r="A9" s="27">
        <f t="shared" ref="A9:A55" si="3">A8+1</f>
        <v>1</v>
      </c>
      <c r="B9" s="28"/>
      <c r="C9" s="34">
        <f xml:space="preserve"> IF(SUM(C8)&lt;=0,"",C8 -D8 -E8)</f>
        <v>90</v>
      </c>
      <c r="D9" s="29">
        <v>6</v>
      </c>
      <c r="E9" s="29">
        <v>5</v>
      </c>
      <c r="F9" s="30">
        <f xml:space="preserve"> IF(SUM(C9)&lt;=0,"",C9 - 0.5*E9)</f>
        <v>87.5</v>
      </c>
      <c r="G9" s="31">
        <f>IF(SUM(C9)&lt;=0,"",D9/F9)</f>
        <v>6.8571428571428575E-2</v>
      </c>
      <c r="H9" s="31">
        <f>IF(SUM(C9)&lt;=0,"",1-G9)</f>
        <v>0.93142857142857138</v>
      </c>
      <c r="I9" s="32">
        <f>IF(SUM(C9)&lt;=0,"",I8*H9)</f>
        <v>0.87440233236151599</v>
      </c>
      <c r="J9" s="33">
        <f t="shared" si="0"/>
        <v>0.79307869146920551</v>
      </c>
      <c r="K9" s="33">
        <f t="shared" si="1"/>
        <v>0.92671770528376374</v>
      </c>
      <c r="M9" s="7">
        <f t="shared" ref="M9:M55" si="4" xml:space="preserve"> IF(SUM(C9)&lt;=0,"",M8 + G9/H9/F9)</f>
        <v>1.506850806473563E-3</v>
      </c>
      <c r="N9" s="8">
        <f t="shared" si="2"/>
        <v>95.323507098732023</v>
      </c>
    </row>
    <row r="10" spans="1:14" ht="12" x14ac:dyDescent="0.2">
      <c r="A10" s="27">
        <f t="shared" si="3"/>
        <v>2</v>
      </c>
      <c r="B10" s="28"/>
      <c r="C10" s="34">
        <f xml:space="preserve"> IF(SUM(C9)&lt;=0,"",C9 -D9 -E9)</f>
        <v>79</v>
      </c>
      <c r="D10" s="29">
        <v>3</v>
      </c>
      <c r="E10" s="29">
        <v>2</v>
      </c>
      <c r="F10" s="30">
        <f xml:space="preserve"> IF(SUM(C10)&lt;=0,"",C10 - 0.5*E10)</f>
        <v>78</v>
      </c>
      <c r="G10" s="31">
        <f>IF(SUM(C10)&lt;=0,"",D10/F10)</f>
        <v>3.8461538461538464E-2</v>
      </c>
      <c r="H10" s="31">
        <f>IF(SUM(C10)&lt;=0,"",1-G10)</f>
        <v>0.96153846153846156</v>
      </c>
      <c r="I10" s="32">
        <f>IF(SUM(C10)&lt;=0,"",I9*H10)</f>
        <v>0.84077147342453462</v>
      </c>
      <c r="J10" s="33">
        <f t="shared" si="0"/>
        <v>0.75354498517394908</v>
      </c>
      <c r="K10" s="33">
        <f t="shared" si="1"/>
        <v>0.90117507111199169</v>
      </c>
      <c r="M10" s="7">
        <f t="shared" si="4"/>
        <v>2.0196713192940758E-3</v>
      </c>
      <c r="N10" s="8">
        <f t="shared" si="2"/>
        <v>93.769631662498185</v>
      </c>
    </row>
    <row r="11" spans="1:14" ht="12" x14ac:dyDescent="0.2">
      <c r="A11" s="27">
        <f t="shared" si="3"/>
        <v>3</v>
      </c>
      <c r="B11" s="28"/>
      <c r="C11" s="34">
        <f xml:space="preserve"> IF(SUM(C10)&lt;=0,"",C10 -D10 -E10)</f>
        <v>74</v>
      </c>
      <c r="D11" s="29">
        <v>5</v>
      </c>
      <c r="E11" s="29">
        <v>7</v>
      </c>
      <c r="F11" s="30">
        <f xml:space="preserve"> IF(SUM(C11)&lt;=0,"",C11 - 0.5*E11)</f>
        <v>70.5</v>
      </c>
      <c r="G11" s="31">
        <f>IF(SUM(C11)&lt;=0,"",D11/F11)</f>
        <v>7.0921985815602842E-2</v>
      </c>
      <c r="H11" s="31">
        <f>IF(SUM(C11)&lt;=0,"",1-G11)</f>
        <v>0.92907801418439717</v>
      </c>
      <c r="I11" s="32">
        <f>IF(SUM(C11)&lt;=0,"",I10*H11)</f>
        <v>0.78114229091215626</v>
      </c>
      <c r="J11" s="33">
        <f t="shared" si="0"/>
        <v>0.68536631519737057</v>
      </c>
      <c r="K11" s="33">
        <f t="shared" si="1"/>
        <v>0.85397532250116959</v>
      </c>
      <c r="M11" s="7">
        <f t="shared" si="4"/>
        <v>3.1024497286925926E-3</v>
      </c>
      <c r="N11" s="8">
        <f t="shared" si="2"/>
        <v>90.308149818281535</v>
      </c>
    </row>
    <row r="12" spans="1:14" ht="12" x14ac:dyDescent="0.2">
      <c r="A12" s="27">
        <f t="shared" si="3"/>
        <v>4</v>
      </c>
      <c r="B12" s="28"/>
      <c r="C12" s="34">
        <f t="shared" ref="C12:C55" si="5" xml:space="preserve"> IF(SUM(C11)&lt;=0,"",C11 -D11 -E11)</f>
        <v>62</v>
      </c>
      <c r="D12" s="29">
        <v>4</v>
      </c>
      <c r="E12" s="29">
        <v>7</v>
      </c>
      <c r="F12" s="30">
        <f t="shared" ref="F12:F55" si="6" xml:space="preserve"> IF(SUM(C12)&lt;=0,"",C12 - 0.5*E12)</f>
        <v>58.5</v>
      </c>
      <c r="G12" s="31">
        <f t="shared" ref="G12:G55" si="7">IF(SUM(C12)&lt;=0,"",D12/F12)</f>
        <v>6.8376068376068383E-2</v>
      </c>
      <c r="H12" s="31">
        <f t="shared" ref="H12:H55" si="8">IF(SUM(C12)&lt;=0,"",1-G12)</f>
        <v>0.93162393162393164</v>
      </c>
      <c r="I12" s="32">
        <f t="shared" ref="I12:I55" si="9">IF(SUM(C12)&lt;=0,"",I11*H12)</f>
        <v>0.72773085221730793</v>
      </c>
      <c r="J12" s="33">
        <f t="shared" si="0"/>
        <v>0.62535135935783104</v>
      </c>
      <c r="K12" s="33">
        <f t="shared" si="1"/>
        <v>0.81060641569085423</v>
      </c>
      <c r="M12" s="7">
        <f t="shared" si="4"/>
        <v>4.3570564878865079E-3</v>
      </c>
      <c r="N12" s="8">
        <f t="shared" si="2"/>
        <v>85.868614241145494</v>
      </c>
    </row>
    <row r="13" spans="1:14" ht="12" x14ac:dyDescent="0.2">
      <c r="A13" s="27">
        <f t="shared" si="3"/>
        <v>5</v>
      </c>
      <c r="B13" s="28"/>
      <c r="C13" s="34">
        <f t="shared" si="5"/>
        <v>51</v>
      </c>
      <c r="D13" s="29">
        <v>5</v>
      </c>
      <c r="E13" s="29">
        <v>2</v>
      </c>
      <c r="F13" s="30">
        <f t="shared" si="6"/>
        <v>50</v>
      </c>
      <c r="G13" s="31">
        <f t="shared" si="7"/>
        <v>0.1</v>
      </c>
      <c r="H13" s="31">
        <f t="shared" si="8"/>
        <v>0.9</v>
      </c>
      <c r="I13" s="32">
        <f t="shared" si="9"/>
        <v>0.65495776699557717</v>
      </c>
      <c r="J13" s="33">
        <f t="shared" si="0"/>
        <v>0.54590219612927271</v>
      </c>
      <c r="K13" s="33">
        <f t="shared" si="1"/>
        <v>0.74982527395780119</v>
      </c>
      <c r="M13" s="7">
        <f t="shared" si="4"/>
        <v>6.5792787101087297E-3</v>
      </c>
      <c r="N13" s="8">
        <f t="shared" si="2"/>
        <v>80.071999729278517</v>
      </c>
    </row>
    <row r="14" spans="1:14" ht="12" x14ac:dyDescent="0.2">
      <c r="A14" s="27">
        <f t="shared" si="3"/>
        <v>6</v>
      </c>
      <c r="B14" s="28"/>
      <c r="C14" s="34">
        <f t="shared" si="5"/>
        <v>44</v>
      </c>
      <c r="D14" s="29">
        <v>3</v>
      </c>
      <c r="E14" s="29">
        <v>6</v>
      </c>
      <c r="F14" s="30">
        <f t="shared" si="6"/>
        <v>41</v>
      </c>
      <c r="G14" s="31">
        <f t="shared" si="7"/>
        <v>7.3170731707317069E-2</v>
      </c>
      <c r="H14" s="31">
        <f t="shared" si="8"/>
        <v>0.92682926829268297</v>
      </c>
      <c r="I14" s="32">
        <f t="shared" si="9"/>
        <v>0.60703402794712036</v>
      </c>
      <c r="J14" s="33">
        <f t="shared" si="0"/>
        <v>0.49471236941266272</v>
      </c>
      <c r="K14" s="33">
        <f t="shared" si="1"/>
        <v>0.70907070105447789</v>
      </c>
      <c r="M14" s="7">
        <f t="shared" si="4"/>
        <v>8.5048242813539152E-3</v>
      </c>
      <c r="N14" s="8">
        <f t="shared" si="2"/>
        <v>76.116106245888659</v>
      </c>
    </row>
    <row r="15" spans="1:14" ht="12" x14ac:dyDescent="0.2">
      <c r="A15" s="27">
        <f t="shared" si="3"/>
        <v>7</v>
      </c>
      <c r="B15" s="28"/>
      <c r="C15" s="34">
        <f t="shared" si="5"/>
        <v>35</v>
      </c>
      <c r="D15" s="29">
        <v>0</v>
      </c>
      <c r="E15" s="29">
        <v>3</v>
      </c>
      <c r="F15" s="30">
        <f t="shared" si="6"/>
        <v>33.5</v>
      </c>
      <c r="G15" s="31">
        <f t="shared" si="7"/>
        <v>0</v>
      </c>
      <c r="H15" s="31">
        <f t="shared" si="8"/>
        <v>1</v>
      </c>
      <c r="I15" s="32">
        <f t="shared" si="9"/>
        <v>0.60703402794712036</v>
      </c>
      <c r="J15" s="33">
        <f t="shared" si="0"/>
        <v>0.49471236941266272</v>
      </c>
      <c r="K15" s="33">
        <f t="shared" si="1"/>
        <v>0.70907070105447789</v>
      </c>
      <c r="M15" s="7">
        <f t="shared" si="4"/>
        <v>8.5048242813539152E-3</v>
      </c>
      <c r="N15" s="8">
        <f t="shared" si="2"/>
        <v>76.116106245888659</v>
      </c>
    </row>
    <row r="16" spans="1:14" ht="12" x14ac:dyDescent="0.2">
      <c r="A16" s="27">
        <f t="shared" si="3"/>
        <v>8</v>
      </c>
      <c r="B16" s="28"/>
      <c r="C16" s="34">
        <f t="shared" si="5"/>
        <v>32</v>
      </c>
      <c r="D16" s="29">
        <v>7</v>
      </c>
      <c r="E16" s="29">
        <v>3</v>
      </c>
      <c r="F16" s="30">
        <f t="shared" si="6"/>
        <v>30.5</v>
      </c>
      <c r="G16" s="31">
        <f t="shared" si="7"/>
        <v>0.22950819672131148</v>
      </c>
      <c r="H16" s="31">
        <f t="shared" si="8"/>
        <v>0.77049180327868849</v>
      </c>
      <c r="I16" s="32">
        <f t="shared" si="9"/>
        <v>0.46771474284450254</v>
      </c>
      <c r="J16" s="33">
        <f t="shared" si="0"/>
        <v>0.34931491191692571</v>
      </c>
      <c r="K16" s="33">
        <f t="shared" si="1"/>
        <v>0.58986565568115368</v>
      </c>
      <c r="M16" s="7">
        <f t="shared" si="4"/>
        <v>1.827113052481398E-2</v>
      </c>
      <c r="N16" s="8">
        <f t="shared" si="2"/>
        <v>62.28707801608094</v>
      </c>
    </row>
    <row r="17" spans="1:14" ht="12" x14ac:dyDescent="0.2">
      <c r="A17" s="27">
        <f t="shared" si="3"/>
        <v>9</v>
      </c>
      <c r="B17" s="28"/>
      <c r="C17" s="34">
        <f t="shared" si="5"/>
        <v>22</v>
      </c>
      <c r="D17" s="29">
        <v>5</v>
      </c>
      <c r="E17" s="29">
        <v>4</v>
      </c>
      <c r="F17" s="30">
        <f t="shared" si="6"/>
        <v>20</v>
      </c>
      <c r="G17" s="31">
        <f t="shared" si="7"/>
        <v>0.25</v>
      </c>
      <c r="H17" s="31">
        <f t="shared" si="8"/>
        <v>0.75</v>
      </c>
      <c r="I17" s="32">
        <f t="shared" si="9"/>
        <v>0.35078605713337691</v>
      </c>
      <c r="J17" s="33">
        <f t="shared" si="0"/>
        <v>0.23637411630236926</v>
      </c>
      <c r="K17" s="33">
        <f t="shared" si="1"/>
        <v>0.48537682208779009</v>
      </c>
      <c r="M17" s="7">
        <f t="shared" si="4"/>
        <v>3.4937797191480643E-2</v>
      </c>
      <c r="N17" s="8">
        <f t="shared" si="2"/>
        <v>52.972442226726088</v>
      </c>
    </row>
    <row r="18" spans="1:14" ht="12" x14ac:dyDescent="0.2">
      <c r="A18" s="27">
        <f t="shared" si="3"/>
        <v>10</v>
      </c>
      <c r="B18" s="28"/>
      <c r="C18" s="34">
        <f t="shared" si="5"/>
        <v>13</v>
      </c>
      <c r="D18" s="29">
        <v>6</v>
      </c>
      <c r="E18" s="29">
        <v>7</v>
      </c>
      <c r="F18" s="30">
        <f t="shared" si="6"/>
        <v>9.5</v>
      </c>
      <c r="G18" s="31">
        <f t="shared" si="7"/>
        <v>0.63157894736842102</v>
      </c>
      <c r="H18" s="31">
        <f t="shared" si="8"/>
        <v>0.36842105263157898</v>
      </c>
      <c r="I18" s="32">
        <f t="shared" si="9"/>
        <v>0.12923696841755991</v>
      </c>
      <c r="J18" s="33">
        <f t="shared" si="0"/>
        <v>5.16665210186176E-2</v>
      </c>
      <c r="K18" s="33">
        <f t="shared" si="1"/>
        <v>0.28791168034619596</v>
      </c>
      <c r="M18" s="7">
        <f t="shared" si="4"/>
        <v>0.21538892501102946</v>
      </c>
      <c r="N18" s="8">
        <f t="shared" si="2"/>
        <v>31.281664365602637</v>
      </c>
    </row>
    <row r="19" spans="1:14" ht="12" x14ac:dyDescent="0.2">
      <c r="A19" s="27">
        <f t="shared" si="3"/>
        <v>11</v>
      </c>
      <c r="B19" s="28"/>
      <c r="C19" s="34">
        <f t="shared" si="5"/>
        <v>0</v>
      </c>
      <c r="D19" s="29"/>
      <c r="E19" s="29"/>
      <c r="F19" s="30" t="str">
        <f t="shared" si="6"/>
        <v/>
      </c>
      <c r="G19" s="31" t="str">
        <f t="shared" si="7"/>
        <v/>
      </c>
      <c r="H19" s="31" t="str">
        <f t="shared" si="8"/>
        <v/>
      </c>
      <c r="I19" s="32" t="str">
        <f t="shared" si="9"/>
        <v/>
      </c>
      <c r="J19" s="33" t="str">
        <f t="shared" si="0"/>
        <v/>
      </c>
      <c r="K19" s="33" t="str">
        <f t="shared" si="1"/>
        <v/>
      </c>
      <c r="M19" s="7" t="str">
        <f t="shared" si="4"/>
        <v/>
      </c>
      <c r="N19" s="8" t="str">
        <f t="shared" si="2"/>
        <v/>
      </c>
    </row>
    <row r="20" spans="1:14" ht="12" x14ac:dyDescent="0.2">
      <c r="A20" s="27">
        <f t="shared" si="3"/>
        <v>12</v>
      </c>
      <c r="B20" s="28"/>
      <c r="C20" s="34" t="str">
        <f t="shared" si="5"/>
        <v/>
      </c>
      <c r="D20" s="29"/>
      <c r="E20" s="29"/>
      <c r="F20" s="30" t="str">
        <f t="shared" si="6"/>
        <v/>
      </c>
      <c r="G20" s="31" t="str">
        <f t="shared" si="7"/>
        <v/>
      </c>
      <c r="H20" s="31" t="str">
        <f t="shared" si="8"/>
        <v/>
      </c>
      <c r="I20" s="32" t="str">
        <f t="shared" si="9"/>
        <v/>
      </c>
      <c r="J20" s="33" t="str">
        <f t="shared" si="0"/>
        <v/>
      </c>
      <c r="K20" s="33" t="str">
        <f t="shared" si="1"/>
        <v/>
      </c>
      <c r="M20" s="7" t="str">
        <f t="shared" si="4"/>
        <v/>
      </c>
      <c r="N20" s="8" t="str">
        <f t="shared" si="2"/>
        <v/>
      </c>
    </row>
    <row r="21" spans="1:14" ht="12" x14ac:dyDescent="0.2">
      <c r="A21" s="27">
        <f t="shared" si="3"/>
        <v>13</v>
      </c>
      <c r="B21" s="28"/>
      <c r="C21" s="34" t="str">
        <f t="shared" si="5"/>
        <v/>
      </c>
      <c r="D21" s="29"/>
      <c r="E21" s="29"/>
      <c r="F21" s="30" t="str">
        <f t="shared" si="6"/>
        <v/>
      </c>
      <c r="G21" s="31" t="str">
        <f t="shared" si="7"/>
        <v/>
      </c>
      <c r="H21" s="31" t="str">
        <f t="shared" si="8"/>
        <v/>
      </c>
      <c r="I21" s="32" t="str">
        <f t="shared" si="9"/>
        <v/>
      </c>
      <c r="J21" s="33" t="str">
        <f t="shared" si="0"/>
        <v/>
      </c>
      <c r="K21" s="33" t="str">
        <f t="shared" si="1"/>
        <v/>
      </c>
      <c r="M21" s="7" t="str">
        <f t="shared" si="4"/>
        <v/>
      </c>
      <c r="N21" s="8" t="str">
        <f t="shared" si="2"/>
        <v/>
      </c>
    </row>
    <row r="22" spans="1:14" ht="12" x14ac:dyDescent="0.2">
      <c r="A22" s="27">
        <f t="shared" si="3"/>
        <v>14</v>
      </c>
      <c r="B22" s="28"/>
      <c r="C22" s="34" t="str">
        <f t="shared" si="5"/>
        <v/>
      </c>
      <c r="D22" s="29"/>
      <c r="E22" s="29"/>
      <c r="F22" s="30" t="str">
        <f t="shared" si="6"/>
        <v/>
      </c>
      <c r="G22" s="31" t="str">
        <f t="shared" si="7"/>
        <v/>
      </c>
      <c r="H22" s="31" t="str">
        <f t="shared" si="8"/>
        <v/>
      </c>
      <c r="I22" s="32" t="str">
        <f t="shared" si="9"/>
        <v/>
      </c>
      <c r="J22" s="33" t="str">
        <f t="shared" si="0"/>
        <v/>
      </c>
      <c r="K22" s="33" t="str">
        <f t="shared" si="1"/>
        <v/>
      </c>
      <c r="M22" s="7" t="str">
        <f t="shared" si="4"/>
        <v/>
      </c>
      <c r="N22" s="8" t="str">
        <f t="shared" si="2"/>
        <v/>
      </c>
    </row>
    <row r="23" spans="1:14" ht="12" x14ac:dyDescent="0.2">
      <c r="A23" s="27">
        <f t="shared" si="3"/>
        <v>15</v>
      </c>
      <c r="B23" s="28"/>
      <c r="C23" s="34" t="str">
        <f t="shared" si="5"/>
        <v/>
      </c>
      <c r="D23" s="29"/>
      <c r="E23" s="29"/>
      <c r="F23" s="30" t="str">
        <f t="shared" si="6"/>
        <v/>
      </c>
      <c r="G23" s="31" t="str">
        <f t="shared" si="7"/>
        <v/>
      </c>
      <c r="H23" s="31" t="str">
        <f t="shared" si="8"/>
        <v/>
      </c>
      <c r="I23" s="32" t="str">
        <f t="shared" si="9"/>
        <v/>
      </c>
      <c r="J23" s="33" t="str">
        <f t="shared" si="0"/>
        <v/>
      </c>
      <c r="K23" s="33" t="str">
        <f t="shared" si="1"/>
        <v/>
      </c>
      <c r="M23" s="7" t="str">
        <f t="shared" si="4"/>
        <v/>
      </c>
      <c r="N23" s="8" t="str">
        <f t="shared" si="2"/>
        <v/>
      </c>
    </row>
    <row r="24" spans="1:14" ht="12" x14ac:dyDescent="0.2">
      <c r="A24" s="27">
        <f t="shared" si="3"/>
        <v>16</v>
      </c>
      <c r="B24" s="28"/>
      <c r="C24" s="34" t="str">
        <f t="shared" si="5"/>
        <v/>
      </c>
      <c r="D24" s="29"/>
      <c r="E24" s="29"/>
      <c r="F24" s="30" t="str">
        <f t="shared" si="6"/>
        <v/>
      </c>
      <c r="G24" s="31" t="str">
        <f t="shared" si="7"/>
        <v/>
      </c>
      <c r="H24" s="31" t="str">
        <f t="shared" si="8"/>
        <v/>
      </c>
      <c r="I24" s="32" t="str">
        <f t="shared" si="9"/>
        <v/>
      </c>
      <c r="J24" s="33" t="str">
        <f t="shared" si="0"/>
        <v/>
      </c>
      <c r="K24" s="33" t="str">
        <f t="shared" si="1"/>
        <v/>
      </c>
      <c r="M24" s="7" t="str">
        <f t="shared" si="4"/>
        <v/>
      </c>
      <c r="N24" s="8" t="str">
        <f t="shared" si="2"/>
        <v/>
      </c>
    </row>
    <row r="25" spans="1:14" ht="12" x14ac:dyDescent="0.2">
      <c r="A25" s="27">
        <f t="shared" si="3"/>
        <v>17</v>
      </c>
      <c r="B25" s="28"/>
      <c r="C25" s="34" t="str">
        <f t="shared" si="5"/>
        <v/>
      </c>
      <c r="D25" s="29"/>
      <c r="E25" s="29"/>
      <c r="F25" s="30" t="str">
        <f t="shared" si="6"/>
        <v/>
      </c>
      <c r="G25" s="31" t="str">
        <f t="shared" si="7"/>
        <v/>
      </c>
      <c r="H25" s="31" t="str">
        <f t="shared" si="8"/>
        <v/>
      </c>
      <c r="I25" s="32" t="str">
        <f t="shared" si="9"/>
        <v/>
      </c>
      <c r="J25" s="33" t="str">
        <f t="shared" si="0"/>
        <v/>
      </c>
      <c r="K25" s="33" t="str">
        <f t="shared" si="1"/>
        <v/>
      </c>
      <c r="M25" s="7" t="str">
        <f t="shared" si="4"/>
        <v/>
      </c>
      <c r="N25" s="8" t="str">
        <f t="shared" si="2"/>
        <v/>
      </c>
    </row>
    <row r="26" spans="1:14" ht="12" x14ac:dyDescent="0.2">
      <c r="A26" s="27">
        <f t="shared" si="3"/>
        <v>18</v>
      </c>
      <c r="B26" s="28"/>
      <c r="C26" s="34" t="str">
        <f t="shared" si="5"/>
        <v/>
      </c>
      <c r="D26" s="29"/>
      <c r="E26" s="29"/>
      <c r="F26" s="30" t="str">
        <f t="shared" si="6"/>
        <v/>
      </c>
      <c r="G26" s="31" t="str">
        <f t="shared" si="7"/>
        <v/>
      </c>
      <c r="H26" s="31" t="str">
        <f t="shared" si="8"/>
        <v/>
      </c>
      <c r="I26" s="32" t="str">
        <f t="shared" si="9"/>
        <v/>
      </c>
      <c r="J26" s="33" t="str">
        <f t="shared" si="0"/>
        <v/>
      </c>
      <c r="K26" s="33" t="str">
        <f t="shared" si="1"/>
        <v/>
      </c>
      <c r="M26" s="7" t="str">
        <f t="shared" si="4"/>
        <v/>
      </c>
      <c r="N26" s="8" t="str">
        <f t="shared" si="2"/>
        <v/>
      </c>
    </row>
    <row r="27" spans="1:14" ht="12" x14ac:dyDescent="0.2">
      <c r="A27" s="27">
        <f t="shared" si="3"/>
        <v>19</v>
      </c>
      <c r="B27" s="28"/>
      <c r="C27" s="34" t="str">
        <f t="shared" si="5"/>
        <v/>
      </c>
      <c r="D27" s="29"/>
      <c r="E27" s="29"/>
      <c r="F27" s="30" t="str">
        <f t="shared" si="6"/>
        <v/>
      </c>
      <c r="G27" s="31" t="str">
        <f t="shared" si="7"/>
        <v/>
      </c>
      <c r="H27" s="31" t="str">
        <f t="shared" si="8"/>
        <v/>
      </c>
      <c r="I27" s="32" t="str">
        <f t="shared" si="9"/>
        <v/>
      </c>
      <c r="J27" s="33" t="str">
        <f t="shared" si="0"/>
        <v/>
      </c>
      <c r="K27" s="33" t="str">
        <f t="shared" si="1"/>
        <v/>
      </c>
      <c r="M27" s="7" t="str">
        <f t="shared" si="4"/>
        <v/>
      </c>
      <c r="N27" s="8" t="str">
        <f t="shared" si="2"/>
        <v/>
      </c>
    </row>
    <row r="28" spans="1:14" ht="12" x14ac:dyDescent="0.2">
      <c r="A28" s="27">
        <f t="shared" si="3"/>
        <v>20</v>
      </c>
      <c r="B28" s="28"/>
      <c r="C28" s="34" t="str">
        <f t="shared" si="5"/>
        <v/>
      </c>
      <c r="D28" s="29"/>
      <c r="E28" s="29"/>
      <c r="F28" s="30" t="str">
        <f t="shared" si="6"/>
        <v/>
      </c>
      <c r="G28" s="31" t="str">
        <f t="shared" si="7"/>
        <v/>
      </c>
      <c r="H28" s="31" t="str">
        <f t="shared" si="8"/>
        <v/>
      </c>
      <c r="I28" s="32" t="str">
        <f t="shared" si="9"/>
        <v/>
      </c>
      <c r="J28" s="33" t="str">
        <f t="shared" si="0"/>
        <v/>
      </c>
      <c r="K28" s="33" t="str">
        <f t="shared" si="1"/>
        <v/>
      </c>
      <c r="M28" s="7" t="str">
        <f t="shared" si="4"/>
        <v/>
      </c>
      <c r="N28" s="8" t="str">
        <f t="shared" si="2"/>
        <v/>
      </c>
    </row>
    <row r="29" spans="1:14" ht="12" x14ac:dyDescent="0.2">
      <c r="A29" s="27">
        <f t="shared" si="3"/>
        <v>21</v>
      </c>
      <c r="B29" s="28"/>
      <c r="C29" s="34" t="str">
        <f t="shared" si="5"/>
        <v/>
      </c>
      <c r="D29" s="29"/>
      <c r="E29" s="29"/>
      <c r="F29" s="30" t="str">
        <f t="shared" si="6"/>
        <v/>
      </c>
      <c r="G29" s="31" t="str">
        <f t="shared" si="7"/>
        <v/>
      </c>
      <c r="H29" s="31" t="str">
        <f t="shared" si="8"/>
        <v/>
      </c>
      <c r="I29" s="32" t="str">
        <f t="shared" si="9"/>
        <v/>
      </c>
      <c r="J29" s="33" t="str">
        <f t="shared" si="0"/>
        <v/>
      </c>
      <c r="K29" s="33" t="str">
        <f t="shared" si="1"/>
        <v/>
      </c>
      <c r="M29" s="7" t="str">
        <f t="shared" si="4"/>
        <v/>
      </c>
      <c r="N29" s="8" t="str">
        <f t="shared" si="2"/>
        <v/>
      </c>
    </row>
    <row r="30" spans="1:14" ht="12" x14ac:dyDescent="0.2">
      <c r="A30" s="27">
        <f t="shared" si="3"/>
        <v>22</v>
      </c>
      <c r="B30" s="28"/>
      <c r="C30" s="34" t="str">
        <f t="shared" si="5"/>
        <v/>
      </c>
      <c r="D30" s="29"/>
      <c r="E30" s="29"/>
      <c r="F30" s="30" t="str">
        <f t="shared" si="6"/>
        <v/>
      </c>
      <c r="G30" s="31" t="str">
        <f t="shared" si="7"/>
        <v/>
      </c>
      <c r="H30" s="31" t="str">
        <f t="shared" si="8"/>
        <v/>
      </c>
      <c r="I30" s="32" t="str">
        <f t="shared" si="9"/>
        <v/>
      </c>
      <c r="J30" s="33" t="str">
        <f t="shared" si="0"/>
        <v/>
      </c>
      <c r="K30" s="33" t="str">
        <f t="shared" si="1"/>
        <v/>
      </c>
      <c r="M30" s="7" t="str">
        <f t="shared" si="4"/>
        <v/>
      </c>
      <c r="N30" s="8" t="str">
        <f t="shared" si="2"/>
        <v/>
      </c>
    </row>
    <row r="31" spans="1:14" ht="12" x14ac:dyDescent="0.2">
      <c r="A31" s="27">
        <f t="shared" si="3"/>
        <v>23</v>
      </c>
      <c r="B31" s="28"/>
      <c r="C31" s="34" t="str">
        <f t="shared" si="5"/>
        <v/>
      </c>
      <c r="D31" s="29"/>
      <c r="E31" s="29"/>
      <c r="F31" s="30" t="str">
        <f t="shared" si="6"/>
        <v/>
      </c>
      <c r="G31" s="31" t="str">
        <f t="shared" si="7"/>
        <v/>
      </c>
      <c r="H31" s="31" t="str">
        <f t="shared" si="8"/>
        <v/>
      </c>
      <c r="I31" s="32" t="str">
        <f t="shared" si="9"/>
        <v/>
      </c>
      <c r="J31" s="33" t="str">
        <f t="shared" si="0"/>
        <v/>
      </c>
      <c r="K31" s="33" t="str">
        <f t="shared" si="1"/>
        <v/>
      </c>
      <c r="M31" s="7" t="str">
        <f t="shared" si="4"/>
        <v/>
      </c>
      <c r="N31" s="8" t="str">
        <f t="shared" si="2"/>
        <v/>
      </c>
    </row>
    <row r="32" spans="1:14" ht="12" x14ac:dyDescent="0.2">
      <c r="A32" s="27">
        <f t="shared" si="3"/>
        <v>24</v>
      </c>
      <c r="B32" s="28"/>
      <c r="C32" s="34" t="str">
        <f t="shared" si="5"/>
        <v/>
      </c>
      <c r="D32" s="29"/>
      <c r="E32" s="29"/>
      <c r="F32" s="30" t="str">
        <f t="shared" si="6"/>
        <v/>
      </c>
      <c r="G32" s="31" t="str">
        <f t="shared" si="7"/>
        <v/>
      </c>
      <c r="H32" s="31" t="str">
        <f t="shared" si="8"/>
        <v/>
      </c>
      <c r="I32" s="32" t="str">
        <f t="shared" si="9"/>
        <v/>
      </c>
      <c r="J32" s="33" t="str">
        <f t="shared" si="0"/>
        <v/>
      </c>
      <c r="K32" s="33" t="str">
        <f t="shared" si="1"/>
        <v/>
      </c>
      <c r="M32" s="7" t="str">
        <f t="shared" si="4"/>
        <v/>
      </c>
      <c r="N32" s="8" t="str">
        <f t="shared" si="2"/>
        <v/>
      </c>
    </row>
    <row r="33" spans="1:14" ht="12" x14ac:dyDescent="0.2">
      <c r="A33" s="27">
        <f t="shared" si="3"/>
        <v>25</v>
      </c>
      <c r="B33" s="28"/>
      <c r="C33" s="34" t="str">
        <f t="shared" si="5"/>
        <v/>
      </c>
      <c r="D33" s="29"/>
      <c r="E33" s="29"/>
      <c r="F33" s="30" t="str">
        <f t="shared" si="6"/>
        <v/>
      </c>
      <c r="G33" s="31" t="str">
        <f t="shared" si="7"/>
        <v/>
      </c>
      <c r="H33" s="31" t="str">
        <f t="shared" si="8"/>
        <v/>
      </c>
      <c r="I33" s="32" t="str">
        <f t="shared" si="9"/>
        <v/>
      </c>
      <c r="J33" s="33" t="str">
        <f t="shared" si="0"/>
        <v/>
      </c>
      <c r="K33" s="33" t="str">
        <f t="shared" si="1"/>
        <v/>
      </c>
      <c r="M33" s="7" t="str">
        <f t="shared" si="4"/>
        <v/>
      </c>
      <c r="N33" s="8" t="str">
        <f t="shared" si="2"/>
        <v/>
      </c>
    </row>
    <row r="34" spans="1:14" ht="12" x14ac:dyDescent="0.2">
      <c r="A34" s="27">
        <f t="shared" si="3"/>
        <v>26</v>
      </c>
      <c r="B34" s="28"/>
      <c r="C34" s="34" t="str">
        <f t="shared" si="5"/>
        <v/>
      </c>
      <c r="D34" s="29"/>
      <c r="E34" s="29"/>
      <c r="F34" s="30" t="str">
        <f t="shared" si="6"/>
        <v/>
      </c>
      <c r="G34" s="31" t="str">
        <f t="shared" si="7"/>
        <v/>
      </c>
      <c r="H34" s="31" t="str">
        <f t="shared" si="8"/>
        <v/>
      </c>
      <c r="I34" s="32" t="str">
        <f t="shared" si="9"/>
        <v/>
      </c>
      <c r="J34" s="33" t="str">
        <f t="shared" si="0"/>
        <v/>
      </c>
      <c r="K34" s="33" t="str">
        <f t="shared" si="1"/>
        <v/>
      </c>
      <c r="M34" s="7" t="str">
        <f t="shared" si="4"/>
        <v/>
      </c>
      <c r="N34" s="8" t="str">
        <f t="shared" si="2"/>
        <v/>
      </c>
    </row>
    <row r="35" spans="1:14" ht="12" x14ac:dyDescent="0.2">
      <c r="A35" s="27">
        <f t="shared" si="3"/>
        <v>27</v>
      </c>
      <c r="B35" s="28"/>
      <c r="C35" s="34" t="str">
        <f t="shared" si="5"/>
        <v/>
      </c>
      <c r="D35" s="29"/>
      <c r="E35" s="29"/>
      <c r="F35" s="30" t="str">
        <f t="shared" si="6"/>
        <v/>
      </c>
      <c r="G35" s="31" t="str">
        <f t="shared" si="7"/>
        <v/>
      </c>
      <c r="H35" s="31" t="str">
        <f t="shared" si="8"/>
        <v/>
      </c>
      <c r="I35" s="32" t="str">
        <f t="shared" si="9"/>
        <v/>
      </c>
      <c r="J35" s="33" t="str">
        <f t="shared" si="0"/>
        <v/>
      </c>
      <c r="K35" s="33" t="str">
        <f t="shared" si="1"/>
        <v/>
      </c>
      <c r="M35" s="7" t="str">
        <f t="shared" si="4"/>
        <v/>
      </c>
      <c r="N35" s="8" t="str">
        <f t="shared" si="2"/>
        <v/>
      </c>
    </row>
    <row r="36" spans="1:14" ht="12" x14ac:dyDescent="0.2">
      <c r="A36" s="27">
        <f t="shared" si="3"/>
        <v>28</v>
      </c>
      <c r="B36" s="28"/>
      <c r="C36" s="34" t="str">
        <f t="shared" si="5"/>
        <v/>
      </c>
      <c r="D36" s="29"/>
      <c r="E36" s="29"/>
      <c r="F36" s="30" t="str">
        <f t="shared" si="6"/>
        <v/>
      </c>
      <c r="G36" s="31" t="str">
        <f t="shared" si="7"/>
        <v/>
      </c>
      <c r="H36" s="31" t="str">
        <f t="shared" si="8"/>
        <v/>
      </c>
      <c r="I36" s="32" t="str">
        <f t="shared" si="9"/>
        <v/>
      </c>
      <c r="J36" s="33" t="str">
        <f t="shared" si="0"/>
        <v/>
      </c>
      <c r="K36" s="33" t="str">
        <f t="shared" si="1"/>
        <v/>
      </c>
      <c r="M36" s="7" t="str">
        <f t="shared" si="4"/>
        <v/>
      </c>
      <c r="N36" s="8" t="str">
        <f t="shared" si="2"/>
        <v/>
      </c>
    </row>
    <row r="37" spans="1:14" ht="12" x14ac:dyDescent="0.2">
      <c r="A37" s="27">
        <f t="shared" si="3"/>
        <v>29</v>
      </c>
      <c r="B37" s="28"/>
      <c r="C37" s="34" t="str">
        <f t="shared" si="5"/>
        <v/>
      </c>
      <c r="D37" s="29"/>
      <c r="E37" s="29"/>
      <c r="F37" s="30" t="str">
        <f t="shared" si="6"/>
        <v/>
      </c>
      <c r="G37" s="31" t="str">
        <f t="shared" si="7"/>
        <v/>
      </c>
      <c r="H37" s="31" t="str">
        <f t="shared" si="8"/>
        <v/>
      </c>
      <c r="I37" s="32" t="str">
        <f t="shared" si="9"/>
        <v/>
      </c>
      <c r="J37" s="33" t="str">
        <f t="shared" si="0"/>
        <v/>
      </c>
      <c r="K37" s="33" t="str">
        <f t="shared" si="1"/>
        <v/>
      </c>
      <c r="M37" s="7" t="str">
        <f t="shared" si="4"/>
        <v/>
      </c>
      <c r="N37" s="8" t="str">
        <f t="shared" si="2"/>
        <v/>
      </c>
    </row>
    <row r="38" spans="1:14" ht="12" x14ac:dyDescent="0.2">
      <c r="A38" s="27">
        <f t="shared" si="3"/>
        <v>30</v>
      </c>
      <c r="B38" s="28"/>
      <c r="C38" s="34" t="str">
        <f t="shared" si="5"/>
        <v/>
      </c>
      <c r="D38" s="29"/>
      <c r="E38" s="29"/>
      <c r="F38" s="30" t="str">
        <f t="shared" si="6"/>
        <v/>
      </c>
      <c r="G38" s="31" t="str">
        <f t="shared" si="7"/>
        <v/>
      </c>
      <c r="H38" s="31" t="str">
        <f t="shared" si="8"/>
        <v/>
      </c>
      <c r="I38" s="32" t="str">
        <f t="shared" si="9"/>
        <v/>
      </c>
      <c r="J38" s="33" t="str">
        <f t="shared" si="0"/>
        <v/>
      </c>
      <c r="K38" s="33" t="str">
        <f t="shared" si="1"/>
        <v/>
      </c>
      <c r="M38" s="7" t="str">
        <f t="shared" si="4"/>
        <v/>
      </c>
      <c r="N38" s="8" t="str">
        <f t="shared" si="2"/>
        <v/>
      </c>
    </row>
    <row r="39" spans="1:14" ht="12" x14ac:dyDescent="0.2">
      <c r="A39" s="27">
        <f t="shared" si="3"/>
        <v>31</v>
      </c>
      <c r="B39" s="28"/>
      <c r="C39" s="34" t="str">
        <f t="shared" si="5"/>
        <v/>
      </c>
      <c r="D39" s="29"/>
      <c r="E39" s="29"/>
      <c r="F39" s="30" t="str">
        <f t="shared" si="6"/>
        <v/>
      </c>
      <c r="G39" s="31" t="str">
        <f t="shared" si="7"/>
        <v/>
      </c>
      <c r="H39" s="31" t="str">
        <f t="shared" si="8"/>
        <v/>
      </c>
      <c r="I39" s="32" t="str">
        <f t="shared" si="9"/>
        <v/>
      </c>
      <c r="J39" s="33" t="str">
        <f t="shared" si="0"/>
        <v/>
      </c>
      <c r="K39" s="33" t="str">
        <f t="shared" si="1"/>
        <v/>
      </c>
      <c r="M39" s="7" t="str">
        <f t="shared" si="4"/>
        <v/>
      </c>
      <c r="N39" s="8" t="str">
        <f t="shared" si="2"/>
        <v/>
      </c>
    </row>
    <row r="40" spans="1:14" ht="12" x14ac:dyDescent="0.2">
      <c r="A40" s="27">
        <f t="shared" si="3"/>
        <v>32</v>
      </c>
      <c r="B40" s="28"/>
      <c r="C40" s="34" t="str">
        <f t="shared" si="5"/>
        <v/>
      </c>
      <c r="D40" s="29"/>
      <c r="E40" s="29"/>
      <c r="F40" s="30" t="str">
        <f t="shared" si="6"/>
        <v/>
      </c>
      <c r="G40" s="31" t="str">
        <f t="shared" si="7"/>
        <v/>
      </c>
      <c r="H40" s="31" t="str">
        <f t="shared" si="8"/>
        <v/>
      </c>
      <c r="I40" s="32" t="str">
        <f t="shared" si="9"/>
        <v/>
      </c>
      <c r="J40" s="33" t="str">
        <f t="shared" si="0"/>
        <v/>
      </c>
      <c r="K40" s="33" t="str">
        <f t="shared" si="1"/>
        <v/>
      </c>
      <c r="M40" s="7" t="str">
        <f t="shared" si="4"/>
        <v/>
      </c>
      <c r="N40" s="8" t="str">
        <f t="shared" si="2"/>
        <v/>
      </c>
    </row>
    <row r="41" spans="1:14" ht="12" x14ac:dyDescent="0.2">
      <c r="A41" s="27">
        <f t="shared" si="3"/>
        <v>33</v>
      </c>
      <c r="B41" s="28"/>
      <c r="C41" s="34" t="str">
        <f t="shared" si="5"/>
        <v/>
      </c>
      <c r="D41" s="29"/>
      <c r="E41" s="29"/>
      <c r="F41" s="30" t="str">
        <f t="shared" si="6"/>
        <v/>
      </c>
      <c r="G41" s="31" t="str">
        <f t="shared" si="7"/>
        <v/>
      </c>
      <c r="H41" s="31" t="str">
        <f t="shared" si="8"/>
        <v/>
      </c>
      <c r="I41" s="32" t="str">
        <f t="shared" si="9"/>
        <v/>
      </c>
      <c r="J41" s="33" t="str">
        <f t="shared" si="0"/>
        <v/>
      </c>
      <c r="K41" s="33" t="str">
        <f t="shared" si="1"/>
        <v/>
      </c>
      <c r="M41" s="7" t="str">
        <f t="shared" si="4"/>
        <v/>
      </c>
      <c r="N41" s="8" t="str">
        <f t="shared" si="2"/>
        <v/>
      </c>
    </row>
    <row r="42" spans="1:14" ht="12" x14ac:dyDescent="0.2">
      <c r="A42" s="27">
        <f t="shared" si="3"/>
        <v>34</v>
      </c>
      <c r="B42" s="28"/>
      <c r="C42" s="34" t="str">
        <f t="shared" si="5"/>
        <v/>
      </c>
      <c r="D42" s="29"/>
      <c r="E42" s="29"/>
      <c r="F42" s="30" t="str">
        <f t="shared" si="6"/>
        <v/>
      </c>
      <c r="G42" s="31" t="str">
        <f t="shared" si="7"/>
        <v/>
      </c>
      <c r="H42" s="31" t="str">
        <f t="shared" si="8"/>
        <v/>
      </c>
      <c r="I42" s="32" t="str">
        <f t="shared" si="9"/>
        <v/>
      </c>
      <c r="J42" s="33" t="str">
        <f t="shared" si="0"/>
        <v/>
      </c>
      <c r="K42" s="33" t="str">
        <f t="shared" si="1"/>
        <v/>
      </c>
      <c r="M42" s="7" t="str">
        <f t="shared" si="4"/>
        <v/>
      </c>
      <c r="N42" s="8" t="str">
        <f t="shared" si="2"/>
        <v/>
      </c>
    </row>
    <row r="43" spans="1:14" ht="12" x14ac:dyDescent="0.2">
      <c r="A43" s="27">
        <f t="shared" si="3"/>
        <v>35</v>
      </c>
      <c r="B43" s="28"/>
      <c r="C43" s="34" t="str">
        <f t="shared" si="5"/>
        <v/>
      </c>
      <c r="D43" s="29"/>
      <c r="E43" s="29"/>
      <c r="F43" s="30" t="str">
        <f t="shared" si="6"/>
        <v/>
      </c>
      <c r="G43" s="31" t="str">
        <f t="shared" si="7"/>
        <v/>
      </c>
      <c r="H43" s="31" t="str">
        <f t="shared" si="8"/>
        <v/>
      </c>
      <c r="I43" s="32" t="str">
        <f t="shared" si="9"/>
        <v/>
      </c>
      <c r="J43" s="33" t="str">
        <f t="shared" si="0"/>
        <v/>
      </c>
      <c r="K43" s="33" t="str">
        <f t="shared" si="1"/>
        <v/>
      </c>
      <c r="M43" s="7" t="str">
        <f t="shared" si="4"/>
        <v/>
      </c>
      <c r="N43" s="8" t="str">
        <f t="shared" si="2"/>
        <v/>
      </c>
    </row>
    <row r="44" spans="1:14" ht="12" x14ac:dyDescent="0.2">
      <c r="A44" s="27">
        <f t="shared" si="3"/>
        <v>36</v>
      </c>
      <c r="B44" s="28"/>
      <c r="C44" s="34" t="str">
        <f t="shared" si="5"/>
        <v/>
      </c>
      <c r="D44" s="29"/>
      <c r="E44" s="29"/>
      <c r="F44" s="30" t="str">
        <f t="shared" si="6"/>
        <v/>
      </c>
      <c r="G44" s="31" t="str">
        <f t="shared" si="7"/>
        <v/>
      </c>
      <c r="H44" s="31" t="str">
        <f t="shared" si="8"/>
        <v/>
      </c>
      <c r="I44" s="32" t="str">
        <f t="shared" si="9"/>
        <v/>
      </c>
      <c r="J44" s="33" t="str">
        <f t="shared" si="0"/>
        <v/>
      </c>
      <c r="K44" s="33" t="str">
        <f t="shared" si="1"/>
        <v/>
      </c>
      <c r="M44" s="7" t="str">
        <f t="shared" si="4"/>
        <v/>
      </c>
      <c r="N44" s="8" t="str">
        <f t="shared" si="2"/>
        <v/>
      </c>
    </row>
    <row r="45" spans="1:14" ht="12" x14ac:dyDescent="0.2">
      <c r="A45" s="27">
        <f t="shared" si="3"/>
        <v>37</v>
      </c>
      <c r="B45" s="28"/>
      <c r="C45" s="34" t="str">
        <f t="shared" si="5"/>
        <v/>
      </c>
      <c r="D45" s="29"/>
      <c r="E45" s="29"/>
      <c r="F45" s="30" t="str">
        <f t="shared" si="6"/>
        <v/>
      </c>
      <c r="G45" s="31" t="str">
        <f t="shared" si="7"/>
        <v/>
      </c>
      <c r="H45" s="31" t="str">
        <f t="shared" si="8"/>
        <v/>
      </c>
      <c r="I45" s="32" t="str">
        <f t="shared" si="9"/>
        <v/>
      </c>
      <c r="J45" s="33" t="str">
        <f t="shared" si="0"/>
        <v/>
      </c>
      <c r="K45" s="33" t="str">
        <f t="shared" si="1"/>
        <v/>
      </c>
      <c r="M45" s="7" t="str">
        <f t="shared" si="4"/>
        <v/>
      </c>
      <c r="N45" s="8" t="str">
        <f t="shared" si="2"/>
        <v/>
      </c>
    </row>
    <row r="46" spans="1:14" ht="12" x14ac:dyDescent="0.2">
      <c r="A46" s="27">
        <f t="shared" si="3"/>
        <v>38</v>
      </c>
      <c r="B46" s="28"/>
      <c r="C46" s="34" t="str">
        <f t="shared" si="5"/>
        <v/>
      </c>
      <c r="D46" s="29"/>
      <c r="E46" s="29"/>
      <c r="F46" s="30" t="str">
        <f t="shared" si="6"/>
        <v/>
      </c>
      <c r="G46" s="31" t="str">
        <f t="shared" si="7"/>
        <v/>
      </c>
      <c r="H46" s="31" t="str">
        <f t="shared" si="8"/>
        <v/>
      </c>
      <c r="I46" s="32" t="str">
        <f t="shared" si="9"/>
        <v/>
      </c>
      <c r="J46" s="33" t="str">
        <f t="shared" si="0"/>
        <v/>
      </c>
      <c r="K46" s="33" t="str">
        <f t="shared" si="1"/>
        <v/>
      </c>
      <c r="M46" s="7" t="str">
        <f t="shared" si="4"/>
        <v/>
      </c>
      <c r="N46" s="8" t="str">
        <f t="shared" si="2"/>
        <v/>
      </c>
    </row>
    <row r="47" spans="1:14" ht="12" x14ac:dyDescent="0.2">
      <c r="A47" s="27">
        <f t="shared" si="3"/>
        <v>39</v>
      </c>
      <c r="B47" s="28"/>
      <c r="C47" s="34" t="str">
        <f t="shared" si="5"/>
        <v/>
      </c>
      <c r="D47" s="29"/>
      <c r="E47" s="29"/>
      <c r="F47" s="30" t="str">
        <f t="shared" si="6"/>
        <v/>
      </c>
      <c r="G47" s="31" t="str">
        <f t="shared" si="7"/>
        <v/>
      </c>
      <c r="H47" s="31" t="str">
        <f t="shared" si="8"/>
        <v/>
      </c>
      <c r="I47" s="32" t="str">
        <f t="shared" si="9"/>
        <v/>
      </c>
      <c r="J47" s="33" t="str">
        <f t="shared" si="0"/>
        <v/>
      </c>
      <c r="K47" s="33" t="str">
        <f t="shared" si="1"/>
        <v/>
      </c>
      <c r="M47" s="7" t="str">
        <f t="shared" si="4"/>
        <v/>
      </c>
      <c r="N47" s="8" t="str">
        <f t="shared" si="2"/>
        <v/>
      </c>
    </row>
    <row r="48" spans="1:14" ht="12" x14ac:dyDescent="0.2">
      <c r="A48" s="27">
        <f t="shared" si="3"/>
        <v>40</v>
      </c>
      <c r="B48" s="28"/>
      <c r="C48" s="34" t="str">
        <f t="shared" si="5"/>
        <v/>
      </c>
      <c r="D48" s="29"/>
      <c r="E48" s="29"/>
      <c r="F48" s="30" t="str">
        <f t="shared" si="6"/>
        <v/>
      </c>
      <c r="G48" s="31" t="str">
        <f t="shared" si="7"/>
        <v/>
      </c>
      <c r="H48" s="31" t="str">
        <f t="shared" si="8"/>
        <v/>
      </c>
      <c r="I48" s="32" t="str">
        <f t="shared" si="9"/>
        <v/>
      </c>
      <c r="J48" s="33" t="str">
        <f t="shared" si="0"/>
        <v/>
      </c>
      <c r="K48" s="33" t="str">
        <f t="shared" si="1"/>
        <v/>
      </c>
      <c r="M48" s="7" t="str">
        <f t="shared" si="4"/>
        <v/>
      </c>
      <c r="N48" s="8" t="str">
        <f t="shared" si="2"/>
        <v/>
      </c>
    </row>
    <row r="49" spans="1:68" ht="12" x14ac:dyDescent="0.2">
      <c r="A49" s="27">
        <f t="shared" si="3"/>
        <v>41</v>
      </c>
      <c r="B49" s="28"/>
      <c r="C49" s="34" t="str">
        <f t="shared" si="5"/>
        <v/>
      </c>
      <c r="D49" s="29"/>
      <c r="E49" s="29"/>
      <c r="F49" s="30" t="str">
        <f t="shared" si="6"/>
        <v/>
      </c>
      <c r="G49" s="31" t="str">
        <f t="shared" si="7"/>
        <v/>
      </c>
      <c r="H49" s="31" t="str">
        <f t="shared" si="8"/>
        <v/>
      </c>
      <c r="I49" s="32" t="str">
        <f t="shared" si="9"/>
        <v/>
      </c>
      <c r="J49" s="33" t="str">
        <f t="shared" si="0"/>
        <v/>
      </c>
      <c r="K49" s="33" t="str">
        <f t="shared" si="1"/>
        <v/>
      </c>
      <c r="M49" s="7" t="str">
        <f t="shared" si="4"/>
        <v/>
      </c>
      <c r="N49" s="8" t="str">
        <f t="shared" si="2"/>
        <v/>
      </c>
    </row>
    <row r="50" spans="1:68" ht="12" x14ac:dyDescent="0.2">
      <c r="A50" s="27">
        <f t="shared" si="3"/>
        <v>42</v>
      </c>
      <c r="B50" s="28"/>
      <c r="C50" s="34" t="str">
        <f t="shared" si="5"/>
        <v/>
      </c>
      <c r="D50" s="29"/>
      <c r="E50" s="29"/>
      <c r="F50" s="30" t="str">
        <f t="shared" si="6"/>
        <v/>
      </c>
      <c r="G50" s="31" t="str">
        <f t="shared" si="7"/>
        <v/>
      </c>
      <c r="H50" s="31" t="str">
        <f t="shared" si="8"/>
        <v/>
      </c>
      <c r="I50" s="32" t="str">
        <f t="shared" si="9"/>
        <v/>
      </c>
      <c r="J50" s="33" t="str">
        <f t="shared" si="0"/>
        <v/>
      </c>
      <c r="K50" s="33" t="str">
        <f t="shared" si="1"/>
        <v/>
      </c>
      <c r="M50" s="7" t="str">
        <f t="shared" si="4"/>
        <v/>
      </c>
      <c r="N50" s="8" t="str">
        <f t="shared" si="2"/>
        <v/>
      </c>
    </row>
    <row r="51" spans="1:68" ht="12" x14ac:dyDescent="0.2">
      <c r="A51" s="27">
        <f t="shared" si="3"/>
        <v>43</v>
      </c>
      <c r="B51" s="28"/>
      <c r="C51" s="34" t="str">
        <f t="shared" si="5"/>
        <v/>
      </c>
      <c r="D51" s="29"/>
      <c r="E51" s="29"/>
      <c r="F51" s="30" t="str">
        <f t="shared" si="6"/>
        <v/>
      </c>
      <c r="G51" s="31" t="str">
        <f t="shared" si="7"/>
        <v/>
      </c>
      <c r="H51" s="31" t="str">
        <f t="shared" si="8"/>
        <v/>
      </c>
      <c r="I51" s="32" t="str">
        <f t="shared" si="9"/>
        <v/>
      </c>
      <c r="J51" s="33" t="str">
        <f t="shared" si="0"/>
        <v/>
      </c>
      <c r="K51" s="33" t="str">
        <f t="shared" si="1"/>
        <v/>
      </c>
      <c r="M51" s="7" t="str">
        <f t="shared" si="4"/>
        <v/>
      </c>
      <c r="N51" s="8" t="str">
        <f t="shared" si="2"/>
        <v/>
      </c>
    </row>
    <row r="52" spans="1:68" ht="12" x14ac:dyDescent="0.2">
      <c r="A52" s="27">
        <f t="shared" si="3"/>
        <v>44</v>
      </c>
      <c r="B52" s="28"/>
      <c r="C52" s="34" t="str">
        <f t="shared" si="5"/>
        <v/>
      </c>
      <c r="D52" s="29"/>
      <c r="E52" s="29"/>
      <c r="F52" s="30" t="str">
        <f t="shared" si="6"/>
        <v/>
      </c>
      <c r="G52" s="31" t="str">
        <f t="shared" si="7"/>
        <v/>
      </c>
      <c r="H52" s="31" t="str">
        <f t="shared" si="8"/>
        <v/>
      </c>
      <c r="I52" s="32" t="str">
        <f t="shared" si="9"/>
        <v/>
      </c>
      <c r="J52" s="33" t="str">
        <f t="shared" si="0"/>
        <v/>
      </c>
      <c r="K52" s="33" t="str">
        <f t="shared" si="1"/>
        <v/>
      </c>
      <c r="M52" s="7" t="str">
        <f t="shared" si="4"/>
        <v/>
      </c>
      <c r="N52" s="8" t="str">
        <f t="shared" si="2"/>
        <v/>
      </c>
    </row>
    <row r="53" spans="1:68" ht="12" x14ac:dyDescent="0.2">
      <c r="A53" s="27">
        <f t="shared" si="3"/>
        <v>45</v>
      </c>
      <c r="B53" s="28"/>
      <c r="C53" s="34" t="str">
        <f t="shared" si="5"/>
        <v/>
      </c>
      <c r="D53" s="29"/>
      <c r="E53" s="29"/>
      <c r="F53" s="30" t="str">
        <f t="shared" si="6"/>
        <v/>
      </c>
      <c r="G53" s="31" t="str">
        <f t="shared" si="7"/>
        <v/>
      </c>
      <c r="H53" s="31" t="str">
        <f t="shared" si="8"/>
        <v/>
      </c>
      <c r="I53" s="32" t="str">
        <f t="shared" si="9"/>
        <v/>
      </c>
      <c r="J53" s="33" t="str">
        <f t="shared" si="0"/>
        <v/>
      </c>
      <c r="K53" s="33" t="str">
        <f t="shared" si="1"/>
        <v/>
      </c>
      <c r="M53" s="7" t="str">
        <f t="shared" si="4"/>
        <v/>
      </c>
      <c r="N53" s="8" t="str">
        <f t="shared" si="2"/>
        <v/>
      </c>
    </row>
    <row r="54" spans="1:68" ht="12" x14ac:dyDescent="0.2">
      <c r="A54" s="27">
        <f t="shared" si="3"/>
        <v>46</v>
      </c>
      <c r="B54" s="28"/>
      <c r="C54" s="34" t="str">
        <f t="shared" si="5"/>
        <v/>
      </c>
      <c r="D54" s="29"/>
      <c r="E54" s="29"/>
      <c r="F54" s="30" t="str">
        <f t="shared" si="6"/>
        <v/>
      </c>
      <c r="G54" s="31" t="str">
        <f t="shared" si="7"/>
        <v/>
      </c>
      <c r="H54" s="31" t="str">
        <f t="shared" si="8"/>
        <v/>
      </c>
      <c r="I54" s="32" t="str">
        <f t="shared" si="9"/>
        <v/>
      </c>
      <c r="J54" s="33" t="str">
        <f t="shared" si="0"/>
        <v/>
      </c>
      <c r="K54" s="33" t="str">
        <f t="shared" si="1"/>
        <v/>
      </c>
      <c r="M54" s="7" t="str">
        <f t="shared" si="4"/>
        <v/>
      </c>
      <c r="N54" s="8" t="str">
        <f t="shared" si="2"/>
        <v/>
      </c>
    </row>
    <row r="55" spans="1:68" ht="12" x14ac:dyDescent="0.2">
      <c r="A55" s="27">
        <f t="shared" si="3"/>
        <v>47</v>
      </c>
      <c r="B55" s="28"/>
      <c r="C55" s="34" t="str">
        <f t="shared" si="5"/>
        <v/>
      </c>
      <c r="D55" s="29"/>
      <c r="E55" s="29"/>
      <c r="F55" s="30" t="str">
        <f t="shared" si="6"/>
        <v/>
      </c>
      <c r="G55" s="31" t="str">
        <f t="shared" si="7"/>
        <v/>
      </c>
      <c r="H55" s="31" t="str">
        <f t="shared" si="8"/>
        <v/>
      </c>
      <c r="I55" s="32" t="str">
        <f t="shared" si="9"/>
        <v/>
      </c>
      <c r="J55" s="33" t="str">
        <f t="shared" si="0"/>
        <v/>
      </c>
      <c r="K55" s="33" t="str">
        <f t="shared" si="1"/>
        <v/>
      </c>
      <c r="M55" s="7" t="str">
        <f t="shared" si="4"/>
        <v/>
      </c>
      <c r="N55" s="8" t="str">
        <f t="shared" si="2"/>
        <v/>
      </c>
    </row>
    <row r="56" spans="1:68" ht="15" x14ac:dyDescent="0.25">
      <c r="A56" s="6"/>
      <c r="B56" s="6"/>
      <c r="C56" s="9"/>
      <c r="D56" s="9"/>
      <c r="E56" s="9"/>
      <c r="F56" s="9"/>
      <c r="G56" s="9"/>
      <c r="H56" s="9"/>
      <c r="I56" s="9"/>
      <c r="J56" s="9"/>
      <c r="K56" s="9"/>
      <c r="L56" s="9"/>
    </row>
    <row r="57" spans="1:68" ht="15" x14ac:dyDescent="0.25">
      <c r="A57" s="10"/>
      <c r="B57" s="10"/>
      <c r="C57" s="10"/>
      <c r="D57" s="11"/>
      <c r="E57" s="11"/>
      <c r="F57" s="11"/>
      <c r="G57" s="11"/>
      <c r="H57" s="11"/>
      <c r="I57" s="11"/>
      <c r="J57" s="11"/>
      <c r="K57" s="11"/>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row>
    <row r="58" spans="1:68" ht="11.25" customHeight="1" x14ac:dyDescent="0.25">
      <c r="A58" s="10"/>
      <c r="B58" s="10"/>
      <c r="C58" s="10"/>
      <c r="D58" s="13"/>
      <c r="E58" s="13"/>
      <c r="F58" s="13"/>
      <c r="G58" s="13"/>
      <c r="H58" s="13"/>
      <c r="I58" s="13"/>
      <c r="J58" s="13"/>
      <c r="K58" s="13"/>
    </row>
    <row r="59" spans="1:68" ht="11.25" customHeight="1" x14ac:dyDescent="0.2">
      <c r="A59" s="14"/>
      <c r="B59" s="14"/>
      <c r="C59" s="14"/>
      <c r="D59" s="13"/>
      <c r="E59" s="13"/>
      <c r="F59" s="13"/>
      <c r="G59" s="13"/>
      <c r="H59" s="13"/>
      <c r="I59" s="13"/>
      <c r="J59" s="13"/>
      <c r="K59" s="13"/>
    </row>
    <row r="60" spans="1:68" ht="11.25" customHeight="1" x14ac:dyDescent="0.2">
      <c r="A60" s="13"/>
      <c r="B60" s="13"/>
      <c r="C60" s="13"/>
      <c r="D60" s="13"/>
      <c r="E60" s="13"/>
      <c r="F60" s="13"/>
      <c r="G60" s="13"/>
      <c r="H60" s="13"/>
      <c r="I60" s="13"/>
      <c r="J60" s="13"/>
      <c r="K60" s="13"/>
    </row>
    <row r="61" spans="1:68" ht="11.25" customHeight="1" x14ac:dyDescent="0.2">
      <c r="A61" s="13"/>
      <c r="B61" s="13"/>
      <c r="C61" s="13"/>
      <c r="D61" s="13"/>
      <c r="E61" s="13"/>
      <c r="F61" s="13"/>
      <c r="G61" s="13"/>
      <c r="H61" s="13"/>
      <c r="I61" s="13"/>
      <c r="J61" s="13"/>
      <c r="K61" s="13"/>
    </row>
    <row r="62" spans="1:68" ht="11.25" customHeight="1" x14ac:dyDescent="0.2">
      <c r="A62" s="13"/>
      <c r="B62" s="13"/>
      <c r="C62" s="13"/>
      <c r="D62" s="13"/>
      <c r="E62" s="13"/>
      <c r="F62" s="13"/>
      <c r="G62" s="13"/>
      <c r="H62" s="13"/>
      <c r="I62" s="13"/>
      <c r="J62" s="13"/>
      <c r="K62" s="13"/>
    </row>
    <row r="63" spans="1:68" ht="11.25" customHeight="1" x14ac:dyDescent="0.2">
      <c r="A63" s="13"/>
      <c r="B63" s="13"/>
      <c r="C63" s="13"/>
      <c r="D63" s="13"/>
      <c r="E63" s="13"/>
      <c r="F63" s="13"/>
      <c r="G63" s="13"/>
      <c r="H63" s="13"/>
      <c r="I63" s="13"/>
      <c r="J63" s="13"/>
      <c r="K63" s="13"/>
    </row>
    <row r="64" spans="1:68" ht="11.25" customHeight="1" x14ac:dyDescent="0.2">
      <c r="A64" s="13"/>
      <c r="B64" s="13"/>
      <c r="C64" s="13"/>
      <c r="D64" s="13"/>
      <c r="E64" s="13"/>
      <c r="F64" s="13"/>
      <c r="G64" s="13"/>
      <c r="H64" s="13"/>
      <c r="I64" s="13"/>
      <c r="J64" s="13"/>
      <c r="K64" s="13"/>
    </row>
    <row r="65" spans="1:11" ht="11.25" customHeight="1" x14ac:dyDescent="0.2">
      <c r="A65" s="13"/>
      <c r="B65" s="13"/>
      <c r="C65" s="13"/>
      <c r="D65" s="13"/>
      <c r="E65" s="13"/>
      <c r="F65" s="13"/>
      <c r="G65" s="13"/>
      <c r="H65" s="13"/>
      <c r="I65" s="13"/>
      <c r="J65" s="13"/>
      <c r="K65" s="13"/>
    </row>
    <row r="66" spans="1:11" ht="11.25" customHeight="1" x14ac:dyDescent="0.2">
      <c r="A66" s="13"/>
      <c r="B66" s="13"/>
      <c r="C66" s="13"/>
      <c r="D66" s="13"/>
      <c r="E66" s="13"/>
      <c r="F66" s="13"/>
      <c r="G66" s="13"/>
      <c r="H66" s="13"/>
      <c r="I66" s="13"/>
      <c r="J66" s="13"/>
      <c r="K66" s="13"/>
    </row>
    <row r="67" spans="1:11" ht="11.25" customHeight="1" x14ac:dyDescent="0.2">
      <c r="A67" s="13"/>
      <c r="B67" s="13"/>
      <c r="C67" s="13"/>
      <c r="D67" s="13"/>
      <c r="E67" s="13"/>
      <c r="F67" s="13"/>
      <c r="G67" s="13"/>
      <c r="H67" s="13"/>
      <c r="I67" s="13"/>
      <c r="J67" s="13"/>
      <c r="K67" s="13"/>
    </row>
    <row r="68" spans="1:11" ht="11.25" customHeight="1" x14ac:dyDescent="0.2">
      <c r="A68" s="13"/>
      <c r="B68" s="13"/>
      <c r="C68" s="13"/>
      <c r="D68" s="13"/>
      <c r="E68" s="13"/>
      <c r="F68" s="13"/>
      <c r="G68" s="13"/>
      <c r="H68" s="13"/>
      <c r="I68" s="13"/>
      <c r="J68" s="13"/>
      <c r="K68" s="13"/>
    </row>
    <row r="69" spans="1:11" ht="11.25" customHeight="1" x14ac:dyDescent="0.2">
      <c r="A69" s="13"/>
      <c r="B69" s="13"/>
      <c r="C69" s="13"/>
      <c r="D69" s="13"/>
      <c r="E69" s="13"/>
      <c r="F69" s="13"/>
      <c r="G69" s="13"/>
      <c r="H69" s="13"/>
      <c r="I69" s="13"/>
      <c r="J69" s="13"/>
      <c r="K69" s="13"/>
    </row>
    <row r="70" spans="1:11" ht="11.25" customHeight="1" x14ac:dyDescent="0.2">
      <c r="A70" s="13"/>
      <c r="B70" s="13"/>
      <c r="C70" s="13"/>
      <c r="D70" s="13"/>
      <c r="E70" s="13"/>
      <c r="F70" s="13"/>
      <c r="G70" s="13"/>
      <c r="H70" s="13"/>
      <c r="I70" s="13"/>
      <c r="J70" s="13"/>
      <c r="K70" s="13"/>
    </row>
    <row r="71" spans="1:11" ht="11.25" customHeight="1" x14ac:dyDescent="0.2">
      <c r="A71" s="13"/>
      <c r="B71" s="13"/>
      <c r="C71" s="13"/>
      <c r="D71" s="13"/>
      <c r="E71" s="13"/>
      <c r="F71" s="13"/>
      <c r="G71" s="13"/>
      <c r="H71" s="13"/>
      <c r="I71" s="13"/>
      <c r="J71" s="13"/>
      <c r="K71" s="13"/>
    </row>
    <row r="72" spans="1:11" ht="11.25" customHeight="1" x14ac:dyDescent="0.2">
      <c r="A72" s="13"/>
      <c r="B72" s="13"/>
      <c r="C72" s="13"/>
      <c r="D72" s="13"/>
      <c r="E72" s="13"/>
      <c r="F72" s="13"/>
      <c r="G72" s="13"/>
      <c r="H72" s="13"/>
      <c r="I72" s="13"/>
      <c r="J72" s="13"/>
      <c r="K72" s="13"/>
    </row>
    <row r="73" spans="1:11" ht="11.25" customHeight="1" x14ac:dyDescent="0.2">
      <c r="A73" s="13"/>
      <c r="B73" s="13"/>
      <c r="C73" s="13"/>
      <c r="D73" s="13"/>
      <c r="E73" s="13"/>
      <c r="F73" s="13"/>
      <c r="G73" s="13"/>
      <c r="H73" s="13"/>
      <c r="I73" s="13"/>
      <c r="J73" s="13"/>
      <c r="K73" s="13"/>
    </row>
    <row r="74" spans="1:11" ht="11.25" customHeight="1" x14ac:dyDescent="0.2">
      <c r="A74" s="13"/>
      <c r="B74" s="13"/>
      <c r="C74" s="13"/>
      <c r="D74" s="13"/>
      <c r="E74" s="13"/>
      <c r="F74" s="13"/>
      <c r="G74" s="13"/>
      <c r="H74" s="13"/>
      <c r="I74" s="13"/>
      <c r="J74" s="13"/>
      <c r="K74" s="13"/>
    </row>
    <row r="75" spans="1:11" ht="11.25" customHeight="1" x14ac:dyDescent="0.2">
      <c r="A75" s="13"/>
      <c r="B75" s="13"/>
      <c r="C75" s="13"/>
      <c r="D75" s="13"/>
      <c r="E75" s="13"/>
      <c r="F75" s="13"/>
      <c r="G75" s="13"/>
      <c r="H75" s="13"/>
      <c r="I75" s="13"/>
      <c r="J75" s="13"/>
      <c r="K75" s="13"/>
    </row>
    <row r="76" spans="1:11" ht="11.25" customHeight="1" x14ac:dyDescent="0.2">
      <c r="A76" s="13"/>
      <c r="B76" s="13"/>
      <c r="C76" s="13"/>
      <c r="D76" s="13"/>
      <c r="E76" s="13"/>
      <c r="F76" s="13"/>
      <c r="G76" s="13"/>
      <c r="H76" s="13"/>
      <c r="I76" s="13"/>
      <c r="J76" s="13"/>
      <c r="K76" s="13"/>
    </row>
    <row r="77" spans="1:11" ht="11.25" customHeight="1" x14ac:dyDescent="0.2">
      <c r="A77" s="13"/>
      <c r="B77" s="13"/>
      <c r="C77" s="13"/>
      <c r="D77" s="13"/>
      <c r="E77" s="13"/>
      <c r="F77" s="13"/>
      <c r="G77" s="13"/>
      <c r="H77" s="13"/>
      <c r="I77" s="13"/>
      <c r="J77" s="13"/>
      <c r="K77" s="13"/>
    </row>
    <row r="78" spans="1:11" ht="11.25" customHeight="1" x14ac:dyDescent="0.2">
      <c r="A78" s="13"/>
      <c r="B78" s="13"/>
      <c r="C78" s="13"/>
      <c r="D78" s="13"/>
      <c r="E78" s="13"/>
      <c r="F78" s="13"/>
      <c r="G78" s="13"/>
      <c r="H78" s="13"/>
      <c r="I78" s="13"/>
      <c r="J78" s="13"/>
      <c r="K78" s="13"/>
    </row>
    <row r="79" spans="1:11" ht="11.25" customHeight="1" x14ac:dyDescent="0.2">
      <c r="A79" s="13"/>
      <c r="B79" s="13"/>
      <c r="C79" s="13"/>
      <c r="D79" s="13"/>
      <c r="E79" s="13"/>
      <c r="F79" s="13"/>
      <c r="G79" s="13"/>
      <c r="H79" s="13"/>
      <c r="I79" s="13"/>
      <c r="J79" s="13"/>
      <c r="K79" s="13"/>
    </row>
    <row r="80" spans="1:11" ht="11.25" customHeight="1" x14ac:dyDescent="0.2">
      <c r="A80" s="13"/>
      <c r="B80" s="13"/>
      <c r="C80" s="13"/>
      <c r="D80" s="13"/>
      <c r="E80" s="13"/>
      <c r="F80" s="13"/>
      <c r="G80" s="13"/>
      <c r="H80" s="13"/>
      <c r="I80" s="13"/>
      <c r="J80" s="13"/>
      <c r="K80" s="13"/>
    </row>
    <row r="81" spans="1:11" ht="11.25" customHeight="1" x14ac:dyDescent="0.2">
      <c r="A81" s="13"/>
      <c r="B81" s="13"/>
      <c r="C81" s="13"/>
      <c r="D81" s="13"/>
      <c r="E81" s="13"/>
      <c r="F81" s="13"/>
      <c r="G81" s="13"/>
      <c r="H81" s="13"/>
      <c r="I81" s="13"/>
      <c r="J81" s="13"/>
      <c r="K81" s="13"/>
    </row>
    <row r="82" spans="1:11" ht="11.25" customHeight="1" x14ac:dyDescent="0.2">
      <c r="A82" s="13"/>
      <c r="B82" s="13"/>
      <c r="C82" s="13"/>
      <c r="D82" s="13"/>
      <c r="E82" s="13"/>
      <c r="F82" s="13"/>
      <c r="G82" s="13"/>
      <c r="H82" s="13"/>
      <c r="I82" s="13"/>
      <c r="J82" s="13"/>
      <c r="K82" s="13"/>
    </row>
    <row r="83" spans="1:11" ht="11.25" customHeight="1" x14ac:dyDescent="0.2">
      <c r="A83" s="13"/>
      <c r="B83" s="13"/>
      <c r="C83" s="13"/>
      <c r="D83" s="13"/>
      <c r="E83" s="13"/>
      <c r="F83" s="13"/>
      <c r="G83" s="13"/>
      <c r="H83" s="13"/>
      <c r="I83" s="13"/>
      <c r="J83" s="13"/>
      <c r="K83" s="13"/>
    </row>
    <row r="84" spans="1:11" ht="11.25" customHeight="1" x14ac:dyDescent="0.2">
      <c r="A84" s="13"/>
      <c r="B84" s="13"/>
      <c r="C84" s="13"/>
      <c r="D84" s="13"/>
      <c r="E84" s="13"/>
      <c r="F84" s="13"/>
      <c r="G84" s="13"/>
      <c r="H84" s="13"/>
      <c r="I84" s="13"/>
      <c r="J84" s="13"/>
      <c r="K84" s="13"/>
    </row>
    <row r="85" spans="1:11" ht="11.25" customHeight="1" x14ac:dyDescent="0.2">
      <c r="A85" s="13"/>
      <c r="B85" s="13"/>
      <c r="C85" s="13"/>
      <c r="D85" s="13"/>
      <c r="E85" s="13"/>
      <c r="F85" s="13"/>
      <c r="G85" s="13"/>
      <c r="H85" s="13"/>
      <c r="I85" s="13"/>
      <c r="J85" s="13"/>
      <c r="K85" s="13"/>
    </row>
    <row r="86" spans="1:11" ht="11.25" customHeight="1" x14ac:dyDescent="0.2">
      <c r="A86" s="13"/>
      <c r="B86" s="13"/>
      <c r="C86" s="13"/>
      <c r="D86" s="13"/>
      <c r="E86" s="13"/>
      <c r="F86" s="13"/>
      <c r="G86" s="13"/>
      <c r="H86" s="13"/>
      <c r="I86" s="13"/>
      <c r="J86" s="13"/>
      <c r="K86" s="13"/>
    </row>
    <row r="87" spans="1:11" ht="11.25" customHeight="1" x14ac:dyDescent="0.2">
      <c r="A87" s="13"/>
      <c r="B87" s="13"/>
      <c r="C87" s="13"/>
      <c r="D87" s="13"/>
      <c r="E87" s="13"/>
      <c r="F87" s="13"/>
      <c r="G87" s="13"/>
      <c r="H87" s="13"/>
      <c r="I87" s="13"/>
      <c r="J87" s="13"/>
      <c r="K87" s="13"/>
    </row>
    <row r="88" spans="1:11" ht="11.25" customHeight="1" x14ac:dyDescent="0.2">
      <c r="A88" s="13"/>
      <c r="B88" s="13"/>
      <c r="C88" s="13"/>
      <c r="D88" s="13"/>
      <c r="E88" s="13"/>
      <c r="F88" s="13"/>
      <c r="G88" s="13"/>
      <c r="H88" s="13"/>
      <c r="I88" s="13"/>
      <c r="J88" s="13"/>
      <c r="K88" s="13"/>
    </row>
    <row r="89" spans="1:11" ht="11.25" customHeight="1" x14ac:dyDescent="0.2">
      <c r="A89" s="13"/>
      <c r="B89" s="13"/>
      <c r="C89" s="13"/>
      <c r="D89" s="13"/>
      <c r="E89" s="13"/>
      <c r="F89" s="13"/>
      <c r="G89" s="13"/>
      <c r="H89" s="13"/>
      <c r="I89" s="13"/>
      <c r="J89" s="13"/>
      <c r="K89" s="13"/>
    </row>
    <row r="90" spans="1:11" ht="11.25" customHeight="1" x14ac:dyDescent="0.2">
      <c r="A90" s="13"/>
      <c r="B90" s="13"/>
      <c r="C90" s="13"/>
      <c r="D90" s="13"/>
      <c r="E90" s="13"/>
      <c r="F90" s="13"/>
      <c r="G90" s="13"/>
      <c r="H90" s="13"/>
      <c r="I90" s="13"/>
      <c r="J90" s="13"/>
      <c r="K90" s="13"/>
    </row>
    <row r="91" spans="1:11" ht="11.25" customHeight="1" x14ac:dyDescent="0.2">
      <c r="A91" s="13"/>
      <c r="B91" s="13"/>
      <c r="C91" s="13"/>
      <c r="D91" s="13"/>
      <c r="E91" s="13"/>
      <c r="F91" s="13"/>
      <c r="G91" s="13"/>
      <c r="H91" s="13"/>
      <c r="I91" s="13"/>
      <c r="J91" s="13"/>
      <c r="K91" s="13"/>
    </row>
    <row r="92" spans="1:11" ht="11.25" customHeight="1" x14ac:dyDescent="0.2">
      <c r="A92" s="13"/>
      <c r="B92" s="13"/>
      <c r="C92" s="13"/>
      <c r="D92" s="13"/>
      <c r="E92" s="13"/>
      <c r="F92" s="13"/>
      <c r="G92" s="13"/>
      <c r="H92" s="13"/>
      <c r="I92" s="13"/>
      <c r="J92" s="13"/>
      <c r="K92" s="13"/>
    </row>
    <row r="93" spans="1:11" ht="11.25" customHeight="1" x14ac:dyDescent="0.2">
      <c r="A93" s="13"/>
      <c r="B93" s="13"/>
      <c r="C93" s="13"/>
      <c r="D93" s="13"/>
      <c r="E93" s="13"/>
      <c r="F93" s="13"/>
      <c r="G93" s="13"/>
      <c r="H93" s="13"/>
      <c r="I93" s="13"/>
      <c r="J93" s="13"/>
      <c r="K93" s="13"/>
    </row>
    <row r="94" spans="1:11" ht="11.25" customHeight="1" x14ac:dyDescent="0.2">
      <c r="A94" s="13"/>
      <c r="B94" s="13"/>
      <c r="C94" s="13"/>
      <c r="D94" s="13"/>
      <c r="E94" s="13"/>
      <c r="F94" s="13"/>
      <c r="G94" s="13"/>
      <c r="H94" s="13"/>
      <c r="I94" s="13"/>
      <c r="J94" s="13"/>
      <c r="K94" s="13"/>
    </row>
    <row r="95" spans="1:11" ht="11.25" customHeight="1" x14ac:dyDescent="0.2">
      <c r="A95" s="13"/>
      <c r="B95" s="13"/>
      <c r="C95" s="13"/>
      <c r="D95" s="13"/>
      <c r="E95" s="13"/>
      <c r="F95" s="13"/>
      <c r="G95" s="13"/>
      <c r="H95" s="13"/>
      <c r="I95" s="13"/>
      <c r="J95" s="13"/>
      <c r="K95" s="13"/>
    </row>
    <row r="96" spans="1:11" ht="11.25" customHeight="1" x14ac:dyDescent="0.2">
      <c r="A96" s="13"/>
      <c r="B96" s="13"/>
      <c r="C96" s="13"/>
      <c r="D96" s="13"/>
      <c r="E96" s="13"/>
      <c r="F96" s="13"/>
      <c r="G96" s="13"/>
      <c r="H96" s="13"/>
      <c r="I96" s="13"/>
      <c r="J96" s="13"/>
      <c r="K96" s="13"/>
    </row>
    <row r="97" spans="1:11" ht="11.25" customHeight="1" x14ac:dyDescent="0.2">
      <c r="A97" s="13"/>
      <c r="B97" s="13"/>
      <c r="C97" s="13"/>
      <c r="D97" s="13"/>
      <c r="E97" s="13"/>
      <c r="F97" s="13"/>
      <c r="G97" s="13"/>
      <c r="H97" s="13"/>
      <c r="I97" s="13"/>
      <c r="J97" s="13"/>
      <c r="K97" s="13"/>
    </row>
    <row r="98" spans="1:11" ht="11.25" customHeight="1" x14ac:dyDescent="0.2">
      <c r="A98" s="13"/>
      <c r="B98" s="13"/>
      <c r="C98" s="13"/>
      <c r="D98" s="13"/>
      <c r="E98" s="13"/>
      <c r="F98" s="13"/>
      <c r="G98" s="13"/>
      <c r="H98" s="13"/>
      <c r="I98" s="13"/>
      <c r="J98" s="13"/>
      <c r="K98" s="13"/>
    </row>
    <row r="99" spans="1:11" ht="11.25" customHeight="1" x14ac:dyDescent="0.2">
      <c r="A99" s="13"/>
      <c r="B99" s="13"/>
      <c r="C99" s="13"/>
      <c r="D99" s="13"/>
      <c r="E99" s="13"/>
      <c r="F99" s="13"/>
      <c r="G99" s="13"/>
      <c r="H99" s="13"/>
      <c r="I99" s="13"/>
      <c r="J99" s="13"/>
      <c r="K99" s="13"/>
    </row>
    <row r="100" spans="1:11" ht="11.25" customHeight="1" x14ac:dyDescent="0.2">
      <c r="A100" s="13"/>
      <c r="B100" s="13"/>
      <c r="C100" s="13"/>
      <c r="D100" s="13"/>
      <c r="E100" s="13"/>
      <c r="F100" s="13"/>
      <c r="G100" s="13"/>
      <c r="H100" s="13"/>
      <c r="I100" s="13"/>
      <c r="J100" s="13"/>
      <c r="K100" s="13"/>
    </row>
    <row r="101" spans="1:11" ht="11.25" customHeight="1" x14ac:dyDescent="0.2">
      <c r="A101" s="13"/>
      <c r="B101" s="13"/>
      <c r="C101" s="13"/>
      <c r="D101" s="13"/>
      <c r="E101" s="13"/>
      <c r="F101" s="13"/>
      <c r="G101" s="13"/>
      <c r="H101" s="13"/>
      <c r="I101" s="13"/>
      <c r="J101" s="13"/>
      <c r="K101" s="13"/>
    </row>
    <row r="102" spans="1:11" ht="11.25" customHeight="1" x14ac:dyDescent="0.2">
      <c r="A102" s="13"/>
      <c r="B102" s="13"/>
      <c r="C102" s="13"/>
      <c r="D102" s="13"/>
      <c r="E102" s="13"/>
      <c r="F102" s="13"/>
      <c r="G102" s="13"/>
      <c r="H102" s="13"/>
      <c r="I102" s="13"/>
      <c r="J102" s="13"/>
      <c r="K102" s="13"/>
    </row>
    <row r="103" spans="1:11" ht="11.25" customHeight="1" x14ac:dyDescent="0.2">
      <c r="A103" s="13"/>
      <c r="B103" s="13"/>
      <c r="C103" s="13"/>
      <c r="D103" s="13"/>
      <c r="E103" s="13"/>
      <c r="F103" s="13"/>
      <c r="G103" s="13"/>
      <c r="H103" s="13"/>
      <c r="I103" s="13"/>
      <c r="J103" s="13"/>
      <c r="K103" s="13"/>
    </row>
    <row r="104" spans="1:11" ht="11.25" customHeight="1" x14ac:dyDescent="0.2">
      <c r="A104" s="13"/>
      <c r="B104" s="13"/>
      <c r="C104" s="13"/>
      <c r="D104" s="13"/>
      <c r="E104" s="13"/>
      <c r="F104" s="13"/>
      <c r="G104" s="13"/>
      <c r="H104" s="13"/>
      <c r="I104" s="13"/>
      <c r="J104" s="13"/>
      <c r="K104" s="13"/>
    </row>
    <row r="105" spans="1:11" ht="11.25" customHeight="1" x14ac:dyDescent="0.2">
      <c r="A105" s="13"/>
      <c r="B105" s="13"/>
      <c r="C105" s="13"/>
      <c r="D105" s="13"/>
      <c r="E105" s="13"/>
      <c r="F105" s="13"/>
      <c r="G105" s="13"/>
      <c r="H105" s="13"/>
      <c r="I105" s="13"/>
      <c r="J105" s="13"/>
      <c r="K105" s="13"/>
    </row>
    <row r="106" spans="1:11" ht="11.25" customHeight="1" x14ac:dyDescent="0.2">
      <c r="A106" s="13"/>
      <c r="B106" s="13"/>
      <c r="C106" s="13"/>
      <c r="D106" s="13"/>
      <c r="E106" s="13"/>
      <c r="F106" s="13"/>
      <c r="G106" s="13"/>
      <c r="H106" s="13"/>
      <c r="I106" s="13"/>
      <c r="J106" s="13"/>
      <c r="K106" s="13"/>
    </row>
    <row r="107" spans="1:11" ht="11.25" customHeight="1" x14ac:dyDescent="0.2">
      <c r="A107" s="13"/>
      <c r="B107" s="13"/>
      <c r="C107" s="13"/>
      <c r="D107" s="13"/>
      <c r="E107" s="13"/>
      <c r="F107" s="13"/>
      <c r="G107" s="13"/>
      <c r="H107" s="13"/>
      <c r="I107" s="13"/>
      <c r="J107" s="13"/>
      <c r="K107" s="13"/>
    </row>
    <row r="108" spans="1:11" ht="11.25" customHeight="1" x14ac:dyDescent="0.2"/>
    <row r="109" spans="1:11" ht="11.25" customHeight="1" x14ac:dyDescent="0.2"/>
    <row r="110" spans="1:11" ht="11.25" customHeight="1" x14ac:dyDescent="0.2"/>
    <row r="111" spans="1:11" ht="11.25" customHeight="1" x14ac:dyDescent="0.2"/>
    <row r="112" spans="1:11"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ht="11.25" customHeight="1" x14ac:dyDescent="0.2"/>
    <row r="210" ht="11.25" customHeight="1" x14ac:dyDescent="0.2"/>
    <row r="211" ht="11.25" customHeight="1" x14ac:dyDescent="0.2"/>
    <row r="212" ht="11.25" customHeight="1" x14ac:dyDescent="0.2"/>
    <row r="213" ht="11.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row r="242" ht="11.25" customHeight="1" x14ac:dyDescent="0.2"/>
    <row r="243" ht="11.25" customHeight="1" x14ac:dyDescent="0.2"/>
    <row r="244" ht="11.25" customHeight="1" x14ac:dyDescent="0.2"/>
    <row r="245" ht="11.25" customHeight="1" x14ac:dyDescent="0.2"/>
    <row r="246" ht="11.25" customHeight="1" x14ac:dyDescent="0.2"/>
    <row r="247" ht="11.25" customHeight="1" x14ac:dyDescent="0.2"/>
    <row r="248" ht="11.25" customHeight="1" x14ac:dyDescent="0.2"/>
    <row r="249" ht="11.25" customHeight="1" x14ac:dyDescent="0.2"/>
    <row r="250" ht="11.25" customHeight="1" x14ac:dyDescent="0.2"/>
    <row r="251" ht="11.25" customHeight="1" x14ac:dyDescent="0.2"/>
    <row r="252" ht="11.25" customHeight="1" x14ac:dyDescent="0.2"/>
    <row r="253" ht="11.25" customHeight="1" x14ac:dyDescent="0.2"/>
    <row r="254" ht="11.25" customHeight="1" x14ac:dyDescent="0.2"/>
    <row r="255" ht="11.25" customHeight="1" x14ac:dyDescent="0.2"/>
    <row r="256" ht="11.25" customHeight="1" x14ac:dyDescent="0.2"/>
    <row r="257" ht="11.25" customHeight="1" x14ac:dyDescent="0.2"/>
    <row r="258" ht="11.25" customHeight="1" x14ac:dyDescent="0.2"/>
    <row r="259" ht="11.25" customHeight="1" x14ac:dyDescent="0.2"/>
    <row r="260" ht="11.25" customHeight="1" x14ac:dyDescent="0.2"/>
    <row r="261" ht="11.25" customHeight="1" x14ac:dyDescent="0.2"/>
    <row r="262" ht="11.25" customHeight="1" x14ac:dyDescent="0.2"/>
    <row r="263" ht="11.25" customHeight="1" x14ac:dyDescent="0.2"/>
    <row r="264" ht="11.25" customHeight="1" x14ac:dyDescent="0.2"/>
    <row r="265" ht="11.25" customHeight="1" x14ac:dyDescent="0.2"/>
    <row r="266" ht="11.25" customHeight="1" x14ac:dyDescent="0.2"/>
    <row r="267" ht="11.25" customHeight="1" x14ac:dyDescent="0.2"/>
    <row r="268" ht="11.25" customHeight="1" x14ac:dyDescent="0.2"/>
    <row r="269" ht="11.25" customHeight="1" x14ac:dyDescent="0.2"/>
    <row r="270" ht="11.25" customHeight="1" x14ac:dyDescent="0.2"/>
    <row r="271" ht="11.25" customHeight="1" x14ac:dyDescent="0.2"/>
    <row r="272" ht="11.25" customHeight="1" x14ac:dyDescent="0.2"/>
    <row r="273" ht="11.25" customHeight="1" x14ac:dyDescent="0.2"/>
    <row r="274" ht="11.25" customHeight="1" x14ac:dyDescent="0.2"/>
    <row r="275" ht="11.25" customHeight="1" x14ac:dyDescent="0.2"/>
    <row r="276" ht="11.25" customHeight="1" x14ac:dyDescent="0.2"/>
    <row r="277" ht="11.25" customHeight="1" x14ac:dyDescent="0.2"/>
    <row r="278" ht="11.25" customHeight="1" x14ac:dyDescent="0.2"/>
    <row r="279" ht="11.25" customHeight="1" x14ac:dyDescent="0.2"/>
    <row r="280" ht="11.25" customHeight="1" x14ac:dyDescent="0.2"/>
    <row r="281" ht="11.25" customHeight="1" x14ac:dyDescent="0.2"/>
    <row r="282" ht="11.25" customHeight="1" x14ac:dyDescent="0.2"/>
    <row r="283" ht="11.25" customHeight="1" x14ac:dyDescent="0.2"/>
    <row r="284" ht="11.25" customHeight="1" x14ac:dyDescent="0.2"/>
    <row r="285" ht="11.25" customHeight="1" x14ac:dyDescent="0.2"/>
    <row r="286" ht="11.25" customHeight="1" x14ac:dyDescent="0.2"/>
    <row r="287" ht="11.25" customHeight="1" x14ac:dyDescent="0.2"/>
    <row r="288" ht="11.25" customHeight="1" x14ac:dyDescent="0.2"/>
    <row r="289" ht="11.25" customHeight="1" x14ac:dyDescent="0.2"/>
    <row r="290" ht="11.25" customHeight="1" x14ac:dyDescent="0.2"/>
    <row r="291" ht="11.25" customHeight="1" x14ac:dyDescent="0.2"/>
    <row r="292" ht="11.25" customHeight="1" x14ac:dyDescent="0.2"/>
    <row r="293" ht="11.25" customHeight="1" x14ac:dyDescent="0.2"/>
    <row r="294" ht="11.25" customHeight="1" x14ac:dyDescent="0.2"/>
    <row r="295" ht="11.25" customHeight="1" x14ac:dyDescent="0.2"/>
    <row r="296" ht="11.25" customHeight="1" x14ac:dyDescent="0.2"/>
    <row r="297" ht="11.25" customHeight="1" x14ac:dyDescent="0.2"/>
    <row r="298" ht="11.25" customHeight="1" x14ac:dyDescent="0.2"/>
    <row r="299" ht="11.25" customHeight="1" x14ac:dyDescent="0.2"/>
    <row r="300" ht="11.25" customHeight="1" x14ac:dyDescent="0.2"/>
    <row r="301" ht="11.25" customHeight="1" x14ac:dyDescent="0.2"/>
    <row r="302" ht="11.25" customHeight="1" x14ac:dyDescent="0.2"/>
    <row r="303" ht="11.25" customHeight="1" x14ac:dyDescent="0.2"/>
    <row r="304" ht="11.25" customHeight="1" x14ac:dyDescent="0.2"/>
    <row r="305" ht="11.25" customHeight="1" x14ac:dyDescent="0.2"/>
    <row r="306" ht="11.25" customHeight="1" x14ac:dyDescent="0.2"/>
    <row r="307" ht="11.25" customHeight="1" x14ac:dyDescent="0.2"/>
    <row r="308" ht="11.25" customHeight="1" x14ac:dyDescent="0.2"/>
    <row r="309" ht="11.25" customHeight="1" x14ac:dyDescent="0.2"/>
    <row r="310" ht="11.25" customHeight="1" x14ac:dyDescent="0.2"/>
    <row r="311" ht="11.25" customHeight="1" x14ac:dyDescent="0.2"/>
    <row r="312" ht="11.25" customHeight="1" x14ac:dyDescent="0.2"/>
    <row r="313" ht="11.25" customHeight="1" x14ac:dyDescent="0.2"/>
    <row r="314" ht="11.25" customHeight="1" x14ac:dyDescent="0.2"/>
    <row r="315" ht="11.25" customHeight="1" x14ac:dyDescent="0.2"/>
    <row r="316" ht="11.25" customHeight="1" x14ac:dyDescent="0.2"/>
    <row r="317" ht="11.25" customHeight="1" x14ac:dyDescent="0.2"/>
    <row r="318" ht="11.25" customHeight="1" x14ac:dyDescent="0.2"/>
    <row r="319" ht="11.25" customHeight="1" x14ac:dyDescent="0.2"/>
    <row r="320" ht="11.25" customHeight="1" x14ac:dyDescent="0.2"/>
    <row r="321" ht="11.25" customHeight="1" x14ac:dyDescent="0.2"/>
    <row r="322" ht="11.25" customHeight="1" x14ac:dyDescent="0.2"/>
    <row r="323" ht="11.25" customHeight="1" x14ac:dyDescent="0.2"/>
    <row r="324" ht="11.25" customHeight="1" x14ac:dyDescent="0.2"/>
    <row r="325" ht="11.25" customHeight="1" x14ac:dyDescent="0.2"/>
    <row r="326" ht="11.25" customHeight="1" x14ac:dyDescent="0.2"/>
    <row r="327" ht="11.25" customHeight="1" x14ac:dyDescent="0.2"/>
    <row r="328" ht="11.25" customHeight="1" x14ac:dyDescent="0.2"/>
    <row r="329" ht="11.25" customHeight="1" x14ac:dyDescent="0.2"/>
    <row r="330" ht="11.25" customHeight="1" x14ac:dyDescent="0.2"/>
    <row r="331" ht="11.25" customHeight="1" x14ac:dyDescent="0.2"/>
    <row r="332" ht="11.25" customHeight="1" x14ac:dyDescent="0.2"/>
    <row r="333" ht="11.25" customHeight="1" x14ac:dyDescent="0.2"/>
    <row r="334" ht="11.25" customHeight="1" x14ac:dyDescent="0.2"/>
    <row r="335" ht="11.25" customHeight="1" x14ac:dyDescent="0.2"/>
    <row r="336" ht="11.25" customHeight="1" x14ac:dyDescent="0.2"/>
    <row r="337" ht="11.25" customHeight="1" x14ac:dyDescent="0.2"/>
    <row r="338" ht="11.25" customHeight="1" x14ac:dyDescent="0.2"/>
    <row r="339" ht="11.25" customHeight="1" x14ac:dyDescent="0.2"/>
    <row r="340" ht="11.25" customHeight="1" x14ac:dyDescent="0.2"/>
    <row r="341" ht="11.25" customHeight="1" x14ac:dyDescent="0.2"/>
    <row r="342" ht="11.25" customHeight="1" x14ac:dyDescent="0.2"/>
    <row r="343" ht="11.25" customHeight="1" x14ac:dyDescent="0.2"/>
    <row r="344" ht="11.25" customHeight="1" x14ac:dyDescent="0.2"/>
    <row r="345" ht="11.25" customHeight="1" x14ac:dyDescent="0.2"/>
    <row r="346" ht="11.25" customHeight="1" x14ac:dyDescent="0.2"/>
    <row r="347" ht="11.25" customHeight="1" x14ac:dyDescent="0.2"/>
    <row r="348" ht="11.25" customHeight="1" x14ac:dyDescent="0.2"/>
  </sheetData>
  <sheetProtection password="C774" sheet="1" objects="1" scenarios="1"/>
  <mergeCells count="5">
    <mergeCell ref="L2:M5"/>
    <mergeCell ref="A3:K5"/>
    <mergeCell ref="A6:K6"/>
    <mergeCell ref="A1:D1"/>
    <mergeCell ref="J1:K1"/>
  </mergeCells>
  <phoneticPr fontId="0" type="noConversion"/>
  <dataValidations count="5">
    <dataValidation type="whole" operator="greaterThanOrEqual" allowBlank="1" showInputMessage="1" showErrorMessage="1" promptTitle="Enter:" prompt="Initial Number at Risk" sqref="C8">
      <formula1>2</formula1>
    </dataValidation>
    <dataValidation type="whole" allowBlank="1" showInputMessage="1" showErrorMessage="1" promptTitle="Enter:" prompt="Live Withdrawals During Interval" sqref="E8">
      <formula1>0</formula1>
      <formula2>#REF!</formula2>
    </dataValidation>
    <dataValidation type="whole" operator="greaterThanOrEqual" allowBlank="1" showInputMessage="1" showErrorMessage="1" promptTitle="Enter:" prompt="Events in Interval" sqref="D8">
      <formula1>0</formula1>
    </dataValidation>
    <dataValidation type="whole" allowBlank="1" showInputMessage="1" showErrorMessage="1" promptTitle="Enter:" prompt="Events in Interval" sqref="D9:D55">
      <formula1>0</formula1>
      <formula2>#REF!</formula2>
    </dataValidation>
    <dataValidation type="whole" allowBlank="1" showInputMessage="1" showErrorMessage="1" promptTitle="Enter:" prompt="Live Withdrawals During Interval" sqref="E9:E55">
      <formula1>0</formula1>
      <formula2>#REF!-#REF!</formula2>
    </dataValidation>
  </dataValidations>
  <hyperlinks>
    <hyperlink ref="J1" location="'Main Menu'!A1" display="Main Menu"/>
  </hyperlinks>
  <pageMargins left="0.75" right="0.75" top="1" bottom="1" header="0.5" footer="0.5"/>
  <headerFooter alignWithMargins="0"/>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3"/>
  <sheetViews>
    <sheetView topLeftCell="A5" workbookViewId="0">
      <selection activeCell="O7" sqref="O7:P7"/>
    </sheetView>
  </sheetViews>
  <sheetFormatPr defaultRowHeight="12.75" x14ac:dyDescent="0.2"/>
  <cols>
    <col min="1" max="1" width="6.85546875" customWidth="1"/>
    <col min="5" max="6" width="7.28515625" customWidth="1"/>
    <col min="10" max="10" width="5" customWidth="1"/>
    <col min="11" max="11" width="6.7109375" customWidth="1"/>
    <col min="15" max="15" width="3.7109375" customWidth="1"/>
    <col min="16" max="16" width="8.42578125" customWidth="1"/>
    <col min="20" max="20" width="3.5703125" customWidth="1"/>
    <col min="21" max="21" width="7.28515625" customWidth="1"/>
  </cols>
  <sheetData>
    <row r="1" spans="1:24" s="22" customFormat="1" ht="24.6" customHeight="1" x14ac:dyDescent="0.25">
      <c r="A1" s="374" t="s">
        <v>647</v>
      </c>
    </row>
    <row r="2" spans="1:24" ht="15.75" x14ac:dyDescent="0.25">
      <c r="B2" s="17" t="s">
        <v>370</v>
      </c>
    </row>
    <row r="3" spans="1:24" x14ac:dyDescent="0.2">
      <c r="B3" s="138" t="s">
        <v>49</v>
      </c>
      <c r="C3" t="s">
        <v>50</v>
      </c>
      <c r="K3" s="138" t="s">
        <v>628</v>
      </c>
      <c r="L3">
        <f>C19+H19+M19+R19+W19</f>
        <v>37.681133941901102</v>
      </c>
    </row>
    <row r="4" spans="1:24" x14ac:dyDescent="0.2">
      <c r="A4" s="373" t="s">
        <v>630</v>
      </c>
      <c r="B4" s="370">
        <f>B11+G11</f>
        <v>72</v>
      </c>
      <c r="C4" s="370">
        <f>C11+H11</f>
        <v>529723</v>
      </c>
      <c r="D4">
        <f>B4+C4</f>
        <v>529795</v>
      </c>
      <c r="F4" s="36" t="s">
        <v>632</v>
      </c>
      <c r="G4" s="94">
        <f>B4/D4</f>
        <v>1.3590162232561651E-4</v>
      </c>
      <c r="K4" s="138" t="s">
        <v>629</v>
      </c>
      <c r="L4">
        <f>C20+H20+M20+R20+W20</f>
        <v>44.946388945201249</v>
      </c>
    </row>
    <row r="5" spans="1:24" x14ac:dyDescent="0.2">
      <c r="A5" s="373" t="s">
        <v>631</v>
      </c>
      <c r="B5" s="370">
        <f>B12+G12</f>
        <v>117</v>
      </c>
      <c r="C5" s="370">
        <f>C12+H12</f>
        <v>1162795</v>
      </c>
      <c r="D5">
        <f>B5+C5</f>
        <v>1162912</v>
      </c>
      <c r="F5" s="36" t="s">
        <v>633</v>
      </c>
      <c r="G5" s="94">
        <f>B5/D5</f>
        <v>1.0060950441649928E-4</v>
      </c>
    </row>
    <row r="6" spans="1:24" ht="13.5" thickBot="1" x14ac:dyDescent="0.25">
      <c r="B6">
        <f>B4+B5</f>
        <v>189</v>
      </c>
      <c r="C6">
        <f>C4+C5</f>
        <v>1692518</v>
      </c>
      <c r="D6">
        <f>D4+D5</f>
        <v>1692707</v>
      </c>
      <c r="E6" s="92"/>
      <c r="F6" s="92"/>
      <c r="G6" s="92"/>
      <c r="H6" s="75"/>
    </row>
    <row r="7" spans="1:24" ht="18.75" thickBot="1" x14ac:dyDescent="0.3">
      <c r="E7" s="375"/>
      <c r="F7" s="376" t="s">
        <v>634</v>
      </c>
      <c r="G7" s="377">
        <f>G4/G5</f>
        <v>1.3507831403583532</v>
      </c>
      <c r="O7" s="555" t="s">
        <v>646</v>
      </c>
      <c r="P7" s="556"/>
      <c r="Q7" s="378">
        <f>L3/L4</f>
        <v>0.8383573147075738</v>
      </c>
    </row>
    <row r="9" spans="1:24" ht="15.75" x14ac:dyDescent="0.25">
      <c r="B9" s="17" t="s">
        <v>638</v>
      </c>
      <c r="G9" s="17" t="s">
        <v>639</v>
      </c>
      <c r="L9" s="17" t="s">
        <v>643</v>
      </c>
      <c r="Q9" s="17" t="s">
        <v>644</v>
      </c>
      <c r="V9" s="17" t="s">
        <v>645</v>
      </c>
    </row>
    <row r="10" spans="1:24" x14ac:dyDescent="0.2">
      <c r="A10" s="371"/>
      <c r="B10" s="373" t="s">
        <v>49</v>
      </c>
      <c r="C10" s="371" t="s">
        <v>50</v>
      </c>
      <c r="D10" s="371"/>
      <c r="E10" s="371"/>
      <c r="F10" s="371"/>
      <c r="G10" s="373" t="s">
        <v>49</v>
      </c>
      <c r="H10" s="371" t="s">
        <v>50</v>
      </c>
      <c r="I10" s="371"/>
      <c r="J10" s="371"/>
      <c r="K10" s="371"/>
      <c r="L10" s="373" t="s">
        <v>49</v>
      </c>
      <c r="M10" s="371" t="s">
        <v>50</v>
      </c>
      <c r="N10" s="371"/>
      <c r="O10" s="371"/>
      <c r="P10" s="371"/>
      <c r="Q10" s="373" t="s">
        <v>49</v>
      </c>
      <c r="R10" s="371" t="s">
        <v>50</v>
      </c>
      <c r="S10" s="371"/>
      <c r="T10" s="371"/>
      <c r="U10" s="371"/>
      <c r="V10" s="373" t="s">
        <v>49</v>
      </c>
      <c r="W10" s="371" t="s">
        <v>50</v>
      </c>
      <c r="X10" s="371"/>
    </row>
    <row r="11" spans="1:24" x14ac:dyDescent="0.2">
      <c r="A11" s="373" t="s">
        <v>630</v>
      </c>
      <c r="B11" s="15">
        <v>51</v>
      </c>
      <c r="C11" s="15">
        <f>173667-51</f>
        <v>173616</v>
      </c>
      <c r="D11" s="371">
        <f>B11+C11</f>
        <v>173667</v>
      </c>
      <c r="E11" s="371"/>
      <c r="F11" s="373" t="s">
        <v>630</v>
      </c>
      <c r="G11" s="15">
        <v>21</v>
      </c>
      <c r="H11" s="15">
        <f>356128-21</f>
        <v>356107</v>
      </c>
      <c r="I11" s="371">
        <f>G11+H11</f>
        <v>356128</v>
      </c>
      <c r="J11" s="371"/>
      <c r="K11" s="373" t="s">
        <v>630</v>
      </c>
      <c r="L11" s="15"/>
      <c r="M11" s="15"/>
      <c r="N11" s="371">
        <f>L11+M11</f>
        <v>0</v>
      </c>
      <c r="O11" s="371"/>
      <c r="P11" s="373" t="s">
        <v>630</v>
      </c>
      <c r="Q11" s="15"/>
      <c r="R11" s="15"/>
      <c r="S11" s="371">
        <f>Q11+R11</f>
        <v>0</v>
      </c>
      <c r="T11" s="371"/>
      <c r="U11" s="373" t="s">
        <v>630</v>
      </c>
      <c r="V11" s="15"/>
      <c r="W11" s="15"/>
      <c r="X11" s="371">
        <f>V11+W11</f>
        <v>0</v>
      </c>
    </row>
    <row r="12" spans="1:24" x14ac:dyDescent="0.2">
      <c r="A12" s="373" t="s">
        <v>631</v>
      </c>
      <c r="B12" s="15">
        <v>48</v>
      </c>
      <c r="C12" s="15">
        <f>132540-48</f>
        <v>132492</v>
      </c>
      <c r="D12" s="371">
        <f>B12+C12</f>
        <v>132540</v>
      </c>
      <c r="E12" s="371"/>
      <c r="F12" s="373" t="s">
        <v>631</v>
      </c>
      <c r="G12" s="15">
        <v>69</v>
      </c>
      <c r="H12" s="15">
        <f>1030372-69</f>
        <v>1030303</v>
      </c>
      <c r="I12" s="371">
        <f>G12+H12</f>
        <v>1030372</v>
      </c>
      <c r="J12" s="371"/>
      <c r="K12" s="373" t="s">
        <v>631</v>
      </c>
      <c r="L12" s="15"/>
      <c r="M12" s="15"/>
      <c r="N12" s="371">
        <f>L12+M12</f>
        <v>0</v>
      </c>
      <c r="O12" s="371"/>
      <c r="P12" s="373" t="s">
        <v>631</v>
      </c>
      <c r="Q12" s="15"/>
      <c r="R12" s="15"/>
      <c r="S12" s="371">
        <f>Q12+R12</f>
        <v>0</v>
      </c>
      <c r="T12" s="371"/>
      <c r="U12" s="373" t="s">
        <v>631</v>
      </c>
      <c r="V12" s="15"/>
      <c r="W12" s="15"/>
      <c r="X12" s="371">
        <f>V12+W12</f>
        <v>0</v>
      </c>
    </row>
    <row r="13" spans="1:24" x14ac:dyDescent="0.2">
      <c r="D13">
        <f>D11+D12</f>
        <v>306207</v>
      </c>
      <c r="I13">
        <f>I11+I12</f>
        <v>1386500</v>
      </c>
      <c r="N13">
        <f>N11+N12</f>
        <v>0</v>
      </c>
      <c r="S13">
        <f>S11+S12</f>
        <v>0</v>
      </c>
      <c r="X13">
        <f>X11+X12</f>
        <v>0</v>
      </c>
    </row>
    <row r="14" spans="1:24" x14ac:dyDescent="0.2">
      <c r="A14" s="92"/>
      <c r="B14" s="92"/>
      <c r="C14" s="92"/>
      <c r="D14" s="75"/>
      <c r="F14" s="92"/>
      <c r="G14" s="92"/>
      <c r="H14" s="92"/>
      <c r="I14" s="75"/>
      <c r="K14" s="92"/>
      <c r="L14" s="92"/>
      <c r="M14" s="92"/>
      <c r="N14" s="75"/>
      <c r="P14" s="92"/>
      <c r="Q14" s="92"/>
      <c r="R14" s="92"/>
      <c r="S14" s="75"/>
      <c r="U14" s="92"/>
      <c r="V14" s="92"/>
      <c r="W14" s="92"/>
      <c r="X14" s="75"/>
    </row>
    <row r="15" spans="1:24" x14ac:dyDescent="0.2">
      <c r="A15" s="35"/>
      <c r="B15" s="36" t="s">
        <v>632</v>
      </c>
      <c r="C15" s="37">
        <f>B11/D11</f>
        <v>2.9366546321408214E-4</v>
      </c>
      <c r="F15" s="35"/>
      <c r="G15" s="36" t="s">
        <v>632</v>
      </c>
      <c r="H15" s="37">
        <f>G11/I11</f>
        <v>5.8967562224818045E-5</v>
      </c>
      <c r="K15" s="35"/>
      <c r="L15" s="36" t="s">
        <v>632</v>
      </c>
      <c r="M15" s="37" t="e">
        <f>L11/N11</f>
        <v>#DIV/0!</v>
      </c>
      <c r="P15" s="35"/>
      <c r="Q15" s="36" t="s">
        <v>632</v>
      </c>
      <c r="R15" s="37" t="e">
        <f>Q11/S11</f>
        <v>#DIV/0!</v>
      </c>
      <c r="U15" s="35"/>
      <c r="V15" s="36" t="s">
        <v>632</v>
      </c>
      <c r="W15" s="37" t="e">
        <f>V11/X11</f>
        <v>#DIV/0!</v>
      </c>
    </row>
    <row r="16" spans="1:24" x14ac:dyDescent="0.2">
      <c r="A16" s="35"/>
      <c r="B16" s="36" t="s">
        <v>633</v>
      </c>
      <c r="C16" s="37">
        <f>B12/D12</f>
        <v>3.6215482118605704E-4</v>
      </c>
      <c r="F16" s="35"/>
      <c r="G16" s="36" t="s">
        <v>633</v>
      </c>
      <c r="H16" s="37">
        <f>G12/I12</f>
        <v>6.6966105445411946E-5</v>
      </c>
      <c r="K16" s="35"/>
      <c r="L16" s="36" t="s">
        <v>633</v>
      </c>
      <c r="M16" s="37" t="e">
        <f>L12/N12</f>
        <v>#DIV/0!</v>
      </c>
      <c r="P16" s="35"/>
      <c r="Q16" s="36" t="s">
        <v>633</v>
      </c>
      <c r="R16" s="37" t="e">
        <f>Q12/S12</f>
        <v>#DIV/0!</v>
      </c>
      <c r="U16" s="35"/>
      <c r="V16" s="36" t="s">
        <v>633</v>
      </c>
      <c r="W16" s="37" t="e">
        <f>V12/X12</f>
        <v>#DIV/0!</v>
      </c>
    </row>
    <row r="17" spans="1:23" ht="15.75" x14ac:dyDescent="0.25">
      <c r="B17" s="298" t="s">
        <v>635</v>
      </c>
      <c r="C17" s="21">
        <f>C15/C16</f>
        <v>0.81088376029988429</v>
      </c>
      <c r="G17" s="298" t="s">
        <v>635</v>
      </c>
      <c r="H17" s="21">
        <f>H15/H16</f>
        <v>0.88055833369145253</v>
      </c>
      <c r="L17" s="298" t="s">
        <v>635</v>
      </c>
      <c r="M17" s="21" t="e">
        <f>M15/M16</f>
        <v>#DIV/0!</v>
      </c>
      <c r="Q17" s="298" t="s">
        <v>635</v>
      </c>
      <c r="R17" s="21" t="e">
        <f>R15/R16</f>
        <v>#DIV/0!</v>
      </c>
      <c r="V17" s="298" t="s">
        <v>635</v>
      </c>
      <c r="W17" s="21" t="e">
        <f>W15/W16</f>
        <v>#DIV/0!</v>
      </c>
    </row>
    <row r="19" spans="1:23" x14ac:dyDescent="0.2">
      <c r="A19" s="138" t="s">
        <v>625</v>
      </c>
      <c r="B19" s="138" t="s">
        <v>626</v>
      </c>
      <c r="C19">
        <f>(B11*D12)/D13</f>
        <v>22.075066866531465</v>
      </c>
      <c r="F19" s="138" t="s">
        <v>640</v>
      </c>
      <c r="G19" s="138" t="s">
        <v>626</v>
      </c>
      <c r="H19">
        <f>IF(I11=0,0,(G11*I12)/I13)</f>
        <v>15.606067075369635</v>
      </c>
      <c r="K19" s="138" t="s">
        <v>641</v>
      </c>
      <c r="L19" s="138" t="s">
        <v>626</v>
      </c>
      <c r="M19">
        <f>IF(N11=0,0,(L11*N12)/N13)</f>
        <v>0</v>
      </c>
      <c r="P19" s="138" t="s">
        <v>641</v>
      </c>
      <c r="Q19" s="138" t="s">
        <v>626</v>
      </c>
      <c r="R19">
        <f>IF(S11=0,0,(Q11*S12)/S13)</f>
        <v>0</v>
      </c>
      <c r="U19" s="138" t="s">
        <v>642</v>
      </c>
      <c r="V19" s="138" t="s">
        <v>626</v>
      </c>
      <c r="W19">
        <f>IF(X11=0,0,(V11*X12)/X13)</f>
        <v>0</v>
      </c>
    </row>
    <row r="20" spans="1:23" x14ac:dyDescent="0.2">
      <c r="B20" s="138" t="s">
        <v>627</v>
      </c>
      <c r="C20">
        <f>(B12*D11)/D13</f>
        <v>27.22346647855862</v>
      </c>
      <c r="G20" s="138" t="s">
        <v>627</v>
      </c>
      <c r="H20">
        <f>IF(I11=0,0,(G12*I11)/I13)</f>
        <v>17.722922466642625</v>
      </c>
      <c r="L20" s="138" t="s">
        <v>627</v>
      </c>
      <c r="M20">
        <f>IF(N11=0,0,(L12*N11)/N13)</f>
        <v>0</v>
      </c>
      <c r="Q20" s="138" t="s">
        <v>627</v>
      </c>
      <c r="R20">
        <f>IF(S11=0,0,(Q12*S11)/S13)</f>
        <v>0</v>
      </c>
      <c r="V20" s="138" t="s">
        <v>627</v>
      </c>
      <c r="W20">
        <f>IF(X11=0,0,(V12*X11)/X13)</f>
        <v>0</v>
      </c>
    </row>
    <row r="22" spans="1:23" x14ac:dyDescent="0.2">
      <c r="A22" s="138"/>
      <c r="F22" s="372"/>
      <c r="G22" s="328"/>
    </row>
    <row r="23" spans="1:23" x14ac:dyDescent="0.2">
      <c r="A23" s="138"/>
    </row>
  </sheetData>
  <mergeCells count="1">
    <mergeCell ref="O7:P7"/>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9"/>
  <sheetViews>
    <sheetView workbookViewId="0">
      <selection activeCell="J35" sqref="J35:L37"/>
    </sheetView>
  </sheetViews>
  <sheetFormatPr defaultRowHeight="12.75" x14ac:dyDescent="0.2"/>
  <cols>
    <col min="1" max="1" width="7.140625" customWidth="1"/>
    <col min="2" max="2" width="8.42578125" customWidth="1"/>
    <col min="3" max="3" width="7" customWidth="1"/>
    <col min="6" max="6" width="9" customWidth="1"/>
    <col min="8" max="8" width="6.5703125" customWidth="1"/>
    <col min="9" max="9" width="6.28515625" customWidth="1"/>
    <col min="10" max="10" width="8.140625" customWidth="1"/>
    <col min="12" max="12" width="6.85546875" customWidth="1"/>
  </cols>
  <sheetData>
    <row r="1" spans="1:15" ht="18" x14ac:dyDescent="0.25">
      <c r="A1" s="386" t="s">
        <v>662</v>
      </c>
      <c r="B1" s="22"/>
      <c r="C1" s="22"/>
      <c r="D1" s="22"/>
      <c r="E1" s="22"/>
      <c r="F1" s="22"/>
      <c r="G1" s="22"/>
      <c r="H1" s="22"/>
      <c r="I1" s="22"/>
      <c r="J1" s="22"/>
      <c r="K1" s="22"/>
      <c r="L1" s="22"/>
      <c r="O1" s="374"/>
    </row>
    <row r="2" spans="1:15" ht="18" x14ac:dyDescent="0.25">
      <c r="A2" s="17"/>
      <c r="B2" s="22"/>
      <c r="C2" s="22"/>
      <c r="D2" s="22"/>
      <c r="E2" s="22"/>
      <c r="F2" s="22"/>
      <c r="G2" s="22"/>
      <c r="H2" s="22"/>
      <c r="I2" s="22"/>
      <c r="J2" s="22"/>
      <c r="K2" s="22"/>
      <c r="L2" s="22"/>
      <c r="O2" s="374"/>
    </row>
    <row r="3" spans="1:15" ht="15.75" x14ac:dyDescent="0.25">
      <c r="B3" s="17" t="s">
        <v>370</v>
      </c>
    </row>
    <row r="4" spans="1:15" x14ac:dyDescent="0.2">
      <c r="B4" s="138" t="s">
        <v>660</v>
      </c>
      <c r="C4" s="138" t="s">
        <v>661</v>
      </c>
      <c r="K4" s="138" t="s">
        <v>628</v>
      </c>
      <c r="L4">
        <f>C20+H20+M20+R20+W20</f>
        <v>22.320925877603649</v>
      </c>
    </row>
    <row r="5" spans="1:15" x14ac:dyDescent="0.2">
      <c r="A5" s="373" t="s">
        <v>651</v>
      </c>
      <c r="B5" s="370">
        <f>B12+G12</f>
        <v>48</v>
      </c>
      <c r="C5" s="370">
        <f>C12+H12</f>
        <v>800</v>
      </c>
      <c r="D5">
        <f>B5+C5</f>
        <v>848</v>
      </c>
      <c r="F5" s="36" t="s">
        <v>632</v>
      </c>
      <c r="G5" s="94">
        <f>B5/D5</f>
        <v>5.6603773584905662E-2</v>
      </c>
      <c r="K5" s="138" t="s">
        <v>629</v>
      </c>
      <c r="L5">
        <f>C21+H21+M21+R21+W21</f>
        <v>26.977559133678184</v>
      </c>
    </row>
    <row r="6" spans="1:15" x14ac:dyDescent="0.2">
      <c r="A6" s="373" t="s">
        <v>659</v>
      </c>
      <c r="B6" s="370">
        <f>B13+G13</f>
        <v>69</v>
      </c>
      <c r="C6" s="370">
        <f>C13+H13</f>
        <v>625</v>
      </c>
      <c r="D6">
        <f>B6+C6</f>
        <v>694</v>
      </c>
      <c r="F6" s="36" t="s">
        <v>633</v>
      </c>
      <c r="G6" s="94">
        <f>B6/D6</f>
        <v>9.9423631123919304E-2</v>
      </c>
    </row>
    <row r="7" spans="1:15" ht="13.5" thickBot="1" x14ac:dyDescent="0.25">
      <c r="B7">
        <f>B5+B6</f>
        <v>117</v>
      </c>
      <c r="C7">
        <f>C5+C6</f>
        <v>1425</v>
      </c>
      <c r="D7">
        <f>D5+D6</f>
        <v>1542</v>
      </c>
      <c r="E7" s="92"/>
      <c r="F7" s="92"/>
      <c r="G7" s="92"/>
      <c r="H7" s="75"/>
    </row>
    <row r="8" spans="1:15" ht="16.5" thickBot="1" x14ac:dyDescent="0.3">
      <c r="E8" s="384"/>
      <c r="F8" s="376" t="s">
        <v>634</v>
      </c>
      <c r="G8" s="385">
        <f>G5/G6</f>
        <v>0.5693191140278917</v>
      </c>
    </row>
    <row r="10" spans="1:15" ht="15.75" x14ac:dyDescent="0.25">
      <c r="B10" s="17" t="s">
        <v>638</v>
      </c>
      <c r="G10" s="17" t="s">
        <v>639</v>
      </c>
      <c r="L10" s="17"/>
    </row>
    <row r="11" spans="1:15" x14ac:dyDescent="0.2">
      <c r="A11" s="371"/>
      <c r="B11" s="138" t="s">
        <v>660</v>
      </c>
      <c r="C11" s="138" t="s">
        <v>661</v>
      </c>
      <c r="D11" s="371"/>
      <c r="E11" s="371"/>
      <c r="F11" s="371"/>
      <c r="G11" s="138" t="s">
        <v>660</v>
      </c>
      <c r="H11" s="138" t="s">
        <v>661</v>
      </c>
      <c r="I11" s="371"/>
    </row>
    <row r="12" spans="1:15" x14ac:dyDescent="0.2">
      <c r="A12" s="373" t="s">
        <v>651</v>
      </c>
      <c r="B12" s="15">
        <v>25</v>
      </c>
      <c r="C12" s="15">
        <v>600</v>
      </c>
      <c r="D12" s="371">
        <f>B12+C12</f>
        <v>625</v>
      </c>
      <c r="E12" s="371"/>
      <c r="F12" s="373" t="s">
        <v>664</v>
      </c>
      <c r="G12" s="15">
        <v>23</v>
      </c>
      <c r="H12" s="15">
        <v>200</v>
      </c>
      <c r="I12" s="371">
        <f>G12+H12</f>
        <v>223</v>
      </c>
    </row>
    <row r="13" spans="1:15" x14ac:dyDescent="0.2">
      <c r="A13" s="373" t="s">
        <v>659</v>
      </c>
      <c r="B13" s="15">
        <v>11</v>
      </c>
      <c r="C13" s="15">
        <v>225</v>
      </c>
      <c r="D13" s="371">
        <f>B13+C13</f>
        <v>236</v>
      </c>
      <c r="E13" s="371"/>
      <c r="F13" s="373" t="s">
        <v>659</v>
      </c>
      <c r="G13" s="15">
        <v>58</v>
      </c>
      <c r="H13" s="15">
        <v>400</v>
      </c>
      <c r="I13" s="371">
        <f>G13+H13</f>
        <v>458</v>
      </c>
    </row>
    <row r="14" spans="1:15" x14ac:dyDescent="0.2">
      <c r="D14">
        <f>D12+D13</f>
        <v>861</v>
      </c>
      <c r="I14">
        <f>I12+I13</f>
        <v>681</v>
      </c>
    </row>
    <row r="15" spans="1:15" x14ac:dyDescent="0.2">
      <c r="A15" s="92"/>
      <c r="B15" s="92"/>
      <c r="C15" s="92"/>
      <c r="D15" s="75"/>
      <c r="F15" s="92"/>
      <c r="G15" s="92"/>
      <c r="H15" s="92"/>
      <c r="I15" s="75"/>
      <c r="K15" s="92"/>
      <c r="L15" s="92"/>
    </row>
    <row r="16" spans="1:15" x14ac:dyDescent="0.2">
      <c r="A16" s="35"/>
      <c r="B16" s="36" t="s">
        <v>632</v>
      </c>
      <c r="C16" s="37">
        <f>B12/D12</f>
        <v>0.04</v>
      </c>
      <c r="F16" s="35"/>
      <c r="G16" s="36" t="s">
        <v>632</v>
      </c>
      <c r="H16" s="37">
        <f>G12/I12</f>
        <v>0.1031390134529148</v>
      </c>
      <c r="K16" s="35"/>
      <c r="L16" s="36"/>
    </row>
    <row r="17" spans="1:13" x14ac:dyDescent="0.2">
      <c r="A17" s="35"/>
      <c r="B17" s="36" t="s">
        <v>633</v>
      </c>
      <c r="C17" s="37">
        <f>B13/D13</f>
        <v>4.6610169491525424E-2</v>
      </c>
      <c r="F17" s="35"/>
      <c r="G17" s="36" t="s">
        <v>633</v>
      </c>
      <c r="H17" s="37">
        <f>G13/I13</f>
        <v>0.12663755458515283</v>
      </c>
      <c r="K17" s="35"/>
      <c r="L17" s="36"/>
    </row>
    <row r="18" spans="1:13" ht="15.75" x14ac:dyDescent="0.25">
      <c r="B18" s="298" t="s">
        <v>635</v>
      </c>
      <c r="C18" s="21">
        <f>C16/C17</f>
        <v>0.85818181818181816</v>
      </c>
      <c r="G18" s="298" t="s">
        <v>635</v>
      </c>
      <c r="H18" s="21">
        <f>H16/H17</f>
        <v>0.81444255450749969</v>
      </c>
      <c r="L18" s="298"/>
    </row>
    <row r="20" spans="1:13" x14ac:dyDescent="0.2">
      <c r="A20" s="138" t="s">
        <v>625</v>
      </c>
      <c r="B20" s="138" t="s">
        <v>626</v>
      </c>
      <c r="C20">
        <f>(B12*D13)/D14</f>
        <v>6.8524970963995351</v>
      </c>
      <c r="F20" s="138" t="s">
        <v>640</v>
      </c>
      <c r="G20" s="138" t="s">
        <v>626</v>
      </c>
      <c r="H20">
        <f>IF(I12=0,0,(G12*I13)/I14)</f>
        <v>15.468428781204112</v>
      </c>
      <c r="K20" s="138"/>
      <c r="L20" s="138"/>
    </row>
    <row r="21" spans="1:13" x14ac:dyDescent="0.2">
      <c r="B21" s="138" t="s">
        <v>627</v>
      </c>
      <c r="C21">
        <f>(B13*D12)/D14</f>
        <v>7.9849012775842043</v>
      </c>
      <c r="G21" s="138" t="s">
        <v>627</v>
      </c>
      <c r="H21">
        <f>IF(I12=0,0,(G13*I12)/I14)</f>
        <v>18.992657856093981</v>
      </c>
      <c r="L21" s="138"/>
    </row>
    <row r="22" spans="1:13" ht="13.5" thickBot="1" x14ac:dyDescent="0.25"/>
    <row r="23" spans="1:13" ht="16.5" thickBot="1" x14ac:dyDescent="0.3">
      <c r="D23" s="557" t="s">
        <v>646</v>
      </c>
      <c r="E23" s="558"/>
      <c r="F23" s="383">
        <f>L4/L5</f>
        <v>0.82738863686665787</v>
      </c>
    </row>
    <row r="26" spans="1:13" ht="15.75" x14ac:dyDescent="0.25">
      <c r="A26" s="386" t="s">
        <v>663</v>
      </c>
    </row>
    <row r="27" spans="1:13" ht="18" x14ac:dyDescent="0.25">
      <c r="B27" s="382" t="s">
        <v>651</v>
      </c>
      <c r="H27" s="382" t="s">
        <v>652</v>
      </c>
    </row>
    <row r="28" spans="1:13" x14ac:dyDescent="0.2">
      <c r="A28" s="371"/>
      <c r="B28" s="373" t="s">
        <v>655</v>
      </c>
      <c r="C28" s="373" t="s">
        <v>656</v>
      </c>
      <c r="D28" s="373" t="s">
        <v>657</v>
      </c>
      <c r="E28" s="373" t="s">
        <v>311</v>
      </c>
      <c r="G28" s="371"/>
      <c r="H28" s="373" t="s">
        <v>655</v>
      </c>
      <c r="I28" s="373" t="s">
        <v>656</v>
      </c>
      <c r="J28" s="373" t="s">
        <v>657</v>
      </c>
      <c r="K28" s="373" t="s">
        <v>311</v>
      </c>
    </row>
    <row r="29" spans="1:13" x14ac:dyDescent="0.2">
      <c r="A29" s="373" t="s">
        <v>653</v>
      </c>
      <c r="B29" s="371">
        <v>25</v>
      </c>
      <c r="C29" s="371">
        <v>625</v>
      </c>
      <c r="D29" s="381">
        <f>C29/$C$31</f>
        <v>0.73702830188679247</v>
      </c>
      <c r="E29" s="380">
        <f>B29/C29</f>
        <v>0.04</v>
      </c>
      <c r="G29" s="373" t="s">
        <v>653</v>
      </c>
      <c r="H29" s="371">
        <v>11</v>
      </c>
      <c r="I29" s="371">
        <v>236</v>
      </c>
      <c r="J29" s="381">
        <f>I29/$I$31</f>
        <v>0.34005763688760809</v>
      </c>
      <c r="K29" s="380">
        <f>H29/I29</f>
        <v>4.6610169491525424E-2</v>
      </c>
    </row>
    <row r="30" spans="1:13" x14ac:dyDescent="0.2">
      <c r="A30" s="373" t="s">
        <v>654</v>
      </c>
      <c r="B30" s="371">
        <v>23</v>
      </c>
      <c r="C30" s="371">
        <v>223</v>
      </c>
      <c r="D30" s="381">
        <f>C30/$C$31</f>
        <v>0.26297169811320753</v>
      </c>
      <c r="E30" s="380">
        <f>B30/C30</f>
        <v>0.1031390134529148</v>
      </c>
      <c r="G30" s="373" t="s">
        <v>654</v>
      </c>
      <c r="H30" s="371">
        <v>58</v>
      </c>
      <c r="I30" s="371">
        <v>458</v>
      </c>
      <c r="J30" s="381">
        <f>I30/$I$31</f>
        <v>0.65994236311239196</v>
      </c>
      <c r="K30" s="380">
        <f>H30/I30</f>
        <v>0.12663755458515283</v>
      </c>
    </row>
    <row r="31" spans="1:13" x14ac:dyDescent="0.2">
      <c r="A31" s="379" t="s">
        <v>658</v>
      </c>
      <c r="B31">
        <f>B29+B30</f>
        <v>48</v>
      </c>
      <c r="C31">
        <f>C29+C30</f>
        <v>848</v>
      </c>
      <c r="D31">
        <f>D29+D30</f>
        <v>1</v>
      </c>
      <c r="E31" s="380"/>
      <c r="H31">
        <f>H29+H30</f>
        <v>69</v>
      </c>
      <c r="I31">
        <f>I29+I30</f>
        <v>694</v>
      </c>
      <c r="J31">
        <f>J29+J30</f>
        <v>1</v>
      </c>
    </row>
    <row r="35" spans="4:12" x14ac:dyDescent="0.2">
      <c r="D35" s="387">
        <v>0.73699999999999999</v>
      </c>
      <c r="E35">
        <v>0.04</v>
      </c>
      <c r="F35">
        <f>D35*E35</f>
        <v>2.9479999999999999E-2</v>
      </c>
      <c r="J35">
        <v>0.73699999999999999</v>
      </c>
      <c r="K35">
        <v>4.6600000000000003E-2</v>
      </c>
      <c r="L35">
        <f>J35*K35</f>
        <v>3.4344199999999998E-2</v>
      </c>
    </row>
    <row r="36" spans="4:12" x14ac:dyDescent="0.2">
      <c r="D36" s="387">
        <v>0.26300000000000001</v>
      </c>
      <c r="E36">
        <v>0.1031</v>
      </c>
      <c r="F36">
        <f>D36*E36</f>
        <v>2.7115300000000002E-2</v>
      </c>
      <c r="J36">
        <v>0.26300000000000001</v>
      </c>
      <c r="K36">
        <v>0.12659999999999999</v>
      </c>
      <c r="L36">
        <f>J36*K36</f>
        <v>3.32958E-2</v>
      </c>
    </row>
    <row r="37" spans="4:12" x14ac:dyDescent="0.2">
      <c r="F37">
        <f>F35+F36</f>
        <v>5.6595300000000001E-2</v>
      </c>
      <c r="L37">
        <f>L35+L36</f>
        <v>6.7640000000000006E-2</v>
      </c>
    </row>
    <row r="39" spans="4:12" x14ac:dyDescent="0.2">
      <c r="G39" s="316" t="s">
        <v>665</v>
      </c>
      <c r="H39">
        <f>F37/L37</f>
        <v>0.83671348314606742</v>
      </c>
    </row>
  </sheetData>
  <mergeCells count="1">
    <mergeCell ref="D23:E23"/>
  </mergeCells>
  <pageMargins left="0.7" right="0.7" top="0.75" bottom="0.75" header="0.3" footer="0.3"/>
  <pageSetup orientation="portrait" r:id="rId1"/>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
  <sheetViews>
    <sheetView workbookViewId="0">
      <selection activeCell="C20" sqref="C20"/>
    </sheetView>
  </sheetViews>
  <sheetFormatPr defaultRowHeight="12.75" x14ac:dyDescent="0.2"/>
  <cols>
    <col min="1" max="1" width="6.85546875" customWidth="1"/>
    <col min="5" max="6" width="7.28515625" customWidth="1"/>
    <col min="7" max="7" width="9.7109375" bestFit="1" customWidth="1"/>
    <col min="10" max="10" width="5" customWidth="1"/>
    <col min="11" max="11" width="6.7109375" customWidth="1"/>
    <col min="15" max="15" width="3.7109375" customWidth="1"/>
    <col min="16" max="16" width="8.42578125" customWidth="1"/>
    <col min="20" max="20" width="3.5703125" customWidth="1"/>
    <col min="21" max="21" width="7.28515625" customWidth="1"/>
  </cols>
  <sheetData>
    <row r="1" spans="1:24" s="22" customFormat="1" ht="24.6" customHeight="1" x14ac:dyDescent="0.25">
      <c r="A1" s="374" t="s">
        <v>650</v>
      </c>
    </row>
    <row r="2" spans="1:24" ht="15.75" x14ac:dyDescent="0.25">
      <c r="B2" s="17" t="s">
        <v>370</v>
      </c>
    </row>
    <row r="3" spans="1:24" x14ac:dyDescent="0.2">
      <c r="B3" s="138" t="s">
        <v>49</v>
      </c>
      <c r="C3" t="s">
        <v>50</v>
      </c>
      <c r="K3" s="138" t="s">
        <v>628</v>
      </c>
      <c r="L3">
        <f>C16+H16+M16+R16+W16</f>
        <v>220.8948323489638</v>
      </c>
    </row>
    <row r="4" spans="1:24" x14ac:dyDescent="0.2">
      <c r="A4" s="373" t="s">
        <v>630</v>
      </c>
      <c r="B4" s="370">
        <f>B11+G11</f>
        <v>500</v>
      </c>
      <c r="C4" s="370">
        <f>C11+H11</f>
        <v>600</v>
      </c>
      <c r="D4">
        <f>B4+C4</f>
        <v>1100</v>
      </c>
      <c r="F4" s="36"/>
      <c r="G4" s="94"/>
      <c r="K4" s="138" t="s">
        <v>629</v>
      </c>
      <c r="L4">
        <f>C17+H17+M17+R17+W17</f>
        <v>164.21826419630372</v>
      </c>
    </row>
    <row r="5" spans="1:24" x14ac:dyDescent="0.2">
      <c r="A5" s="373" t="s">
        <v>631</v>
      </c>
      <c r="B5" s="370">
        <f>B12+G12</f>
        <v>1500</v>
      </c>
      <c r="C5" s="370">
        <f>C12+H12</f>
        <v>3400</v>
      </c>
      <c r="D5">
        <f>B5+C5</f>
        <v>4900</v>
      </c>
      <c r="F5" s="36"/>
      <c r="G5" s="94"/>
    </row>
    <row r="6" spans="1:24" ht="13.5" thickBot="1" x14ac:dyDescent="0.25">
      <c r="B6">
        <f>B4+B5</f>
        <v>2000</v>
      </c>
      <c r="C6">
        <f>C4+C5</f>
        <v>4000</v>
      </c>
      <c r="D6">
        <f>D4+D5</f>
        <v>6000</v>
      </c>
      <c r="E6" s="92"/>
      <c r="F6" s="92"/>
      <c r="G6" s="92"/>
      <c r="H6" s="75"/>
    </row>
    <row r="7" spans="1:24" ht="18.75" thickBot="1" x14ac:dyDescent="0.3">
      <c r="E7" s="375"/>
      <c r="F7" s="376" t="s">
        <v>648</v>
      </c>
      <c r="G7" s="377">
        <f>(B4/B5)/(C4/C5)</f>
        <v>1.8888888888888886</v>
      </c>
      <c r="O7" s="555" t="s">
        <v>649</v>
      </c>
      <c r="P7" s="556"/>
      <c r="Q7" s="378">
        <f>L3/L4</f>
        <v>1.3451295045045042</v>
      </c>
    </row>
    <row r="8" spans="1:24" x14ac:dyDescent="0.2">
      <c r="P8" s="138" t="s">
        <v>666</v>
      </c>
      <c r="Q8">
        <f>LN(Q7)</f>
        <v>0.29649029429556972</v>
      </c>
    </row>
    <row r="9" spans="1:24" ht="15.75" x14ac:dyDescent="0.25">
      <c r="B9" s="17" t="s">
        <v>638</v>
      </c>
      <c r="G9" s="17" t="s">
        <v>639</v>
      </c>
      <c r="L9" s="17" t="s">
        <v>643</v>
      </c>
      <c r="Q9" s="17" t="s">
        <v>644</v>
      </c>
      <c r="V9" s="17" t="s">
        <v>645</v>
      </c>
    </row>
    <row r="10" spans="1:24" x14ac:dyDescent="0.2">
      <c r="A10" s="371"/>
      <c r="B10" s="373" t="s">
        <v>49</v>
      </c>
      <c r="C10" s="371" t="s">
        <v>50</v>
      </c>
      <c r="D10" s="371"/>
      <c r="E10" s="371"/>
      <c r="F10" s="371"/>
      <c r="G10" s="373" t="s">
        <v>49</v>
      </c>
      <c r="H10" s="371" t="s">
        <v>50</v>
      </c>
      <c r="I10" s="371"/>
      <c r="J10" s="371"/>
      <c r="K10" s="371"/>
      <c r="L10" s="373" t="s">
        <v>49</v>
      </c>
      <c r="M10" s="371" t="s">
        <v>50</v>
      </c>
      <c r="N10" s="371"/>
      <c r="O10" s="371"/>
      <c r="P10" s="371"/>
      <c r="Q10" s="373" t="s">
        <v>49</v>
      </c>
      <c r="R10" s="371" t="s">
        <v>50</v>
      </c>
      <c r="S10" s="371"/>
      <c r="T10" s="371"/>
      <c r="U10" s="371"/>
      <c r="V10" s="373" t="s">
        <v>49</v>
      </c>
      <c r="W10" s="371" t="s">
        <v>50</v>
      </c>
      <c r="X10" s="371"/>
    </row>
    <row r="11" spans="1:24" x14ac:dyDescent="0.2">
      <c r="A11" s="373" t="s">
        <v>630</v>
      </c>
      <c r="B11" s="15">
        <v>140</v>
      </c>
      <c r="C11" s="15">
        <v>300</v>
      </c>
      <c r="D11" s="371"/>
      <c r="E11" s="371"/>
      <c r="F11" s="373" t="s">
        <v>630</v>
      </c>
      <c r="G11" s="15">
        <v>360</v>
      </c>
      <c r="H11" s="15">
        <v>300</v>
      </c>
      <c r="I11" s="371"/>
      <c r="J11" s="371"/>
      <c r="K11" s="373" t="s">
        <v>630</v>
      </c>
      <c r="L11" s="15"/>
      <c r="M11" s="15"/>
      <c r="N11" s="371"/>
      <c r="O11" s="371"/>
      <c r="P11" s="373" t="s">
        <v>630</v>
      </c>
      <c r="Q11" s="15"/>
      <c r="R11" s="15"/>
      <c r="S11" s="371"/>
      <c r="T11" s="371"/>
      <c r="U11" s="373" t="s">
        <v>630</v>
      </c>
      <c r="V11" s="15"/>
      <c r="W11" s="15"/>
      <c r="X11" s="371"/>
    </row>
    <row r="12" spans="1:24" x14ac:dyDescent="0.2">
      <c r="A12" s="373" t="s">
        <v>631</v>
      </c>
      <c r="B12" s="15">
        <v>550</v>
      </c>
      <c r="C12" s="15">
        <v>2600</v>
      </c>
      <c r="D12" s="371"/>
      <c r="E12" s="371"/>
      <c r="F12" s="373" t="s">
        <v>631</v>
      </c>
      <c r="G12" s="15">
        <v>950</v>
      </c>
      <c r="H12" s="15">
        <v>800</v>
      </c>
      <c r="I12" s="371"/>
      <c r="J12" s="371"/>
      <c r="K12" s="373" t="s">
        <v>631</v>
      </c>
      <c r="L12" s="15"/>
      <c r="M12" s="15"/>
      <c r="N12" s="371"/>
      <c r="O12" s="371"/>
      <c r="P12" s="373" t="s">
        <v>631</v>
      </c>
      <c r="Q12" s="15"/>
      <c r="R12" s="15"/>
      <c r="S12" s="371"/>
      <c r="T12" s="371"/>
      <c r="U12" s="373" t="s">
        <v>631</v>
      </c>
      <c r="V12" s="15"/>
      <c r="W12" s="15"/>
      <c r="X12" s="371"/>
    </row>
    <row r="13" spans="1:24" x14ac:dyDescent="0.2">
      <c r="B13">
        <f>B11+B12</f>
        <v>690</v>
      </c>
      <c r="C13">
        <f>C11+C12</f>
        <v>2900</v>
      </c>
      <c r="D13">
        <f>B13+C13</f>
        <v>3590</v>
      </c>
      <c r="G13">
        <f>G11+G12</f>
        <v>1310</v>
      </c>
      <c r="H13">
        <f>H11+H12</f>
        <v>1100</v>
      </c>
      <c r="I13">
        <f>G13+H13</f>
        <v>2410</v>
      </c>
      <c r="L13">
        <f>L11+L12</f>
        <v>0</v>
      </c>
      <c r="M13">
        <f>M11+M12</f>
        <v>0</v>
      </c>
      <c r="N13">
        <f>L13+M13</f>
        <v>0</v>
      </c>
      <c r="Q13">
        <f>Q11+Q12</f>
        <v>0</v>
      </c>
      <c r="R13">
        <f>R11+R12</f>
        <v>0</v>
      </c>
      <c r="S13">
        <f>Q13+R13</f>
        <v>0</v>
      </c>
      <c r="V13">
        <f>V11+V12</f>
        <v>0</v>
      </c>
      <c r="W13">
        <f>W11+W12</f>
        <v>0</v>
      </c>
      <c r="X13">
        <f>V13+W13</f>
        <v>0</v>
      </c>
    </row>
    <row r="14" spans="1:24" x14ac:dyDescent="0.2">
      <c r="A14" s="92"/>
      <c r="B14" s="92"/>
      <c r="C14" s="92"/>
      <c r="D14" s="75"/>
      <c r="F14" s="92"/>
      <c r="G14" s="92"/>
      <c r="H14" s="92"/>
      <c r="I14" s="75"/>
      <c r="K14" s="92"/>
      <c r="L14" s="92"/>
      <c r="M14" s="92"/>
      <c r="N14" s="75"/>
      <c r="P14" s="92"/>
      <c r="Q14" s="92"/>
      <c r="R14" s="92"/>
      <c r="S14" s="75"/>
      <c r="U14" s="92"/>
      <c r="V14" s="92"/>
      <c r="W14" s="92"/>
      <c r="X14" s="75"/>
    </row>
    <row r="15" spans="1:24" ht="15.75" x14ac:dyDescent="0.25">
      <c r="B15" s="298" t="s">
        <v>635</v>
      </c>
      <c r="C15" s="21">
        <f>(B11/B12)/(C11/C12)</f>
        <v>2.2060606060606056</v>
      </c>
      <c r="G15" s="298" t="s">
        <v>635</v>
      </c>
      <c r="H15" s="21">
        <f>(G11/G12)/(H11/H12)</f>
        <v>1.0105263157894737</v>
      </c>
      <c r="L15" s="298" t="s">
        <v>635</v>
      </c>
      <c r="M15" s="21" t="e">
        <f>(L11/L12)/(M11/M12)</f>
        <v>#DIV/0!</v>
      </c>
      <c r="Q15" s="298" t="s">
        <v>635</v>
      </c>
      <c r="R15" s="21" t="e">
        <f>(Q11/Q12)/(R11/R12)</f>
        <v>#DIV/0!</v>
      </c>
      <c r="V15" s="298" t="s">
        <v>635</v>
      </c>
      <c r="W15" s="21" t="e">
        <f>(V11/V12)/(W11/W12)</f>
        <v>#DIV/0!</v>
      </c>
    </row>
    <row r="16" spans="1:24" x14ac:dyDescent="0.2">
      <c r="A16" s="138" t="s">
        <v>625</v>
      </c>
      <c r="B16" s="138" t="s">
        <v>626</v>
      </c>
      <c r="C16">
        <f>(B11*C12)/D13</f>
        <v>101.39275766016713</v>
      </c>
      <c r="F16" s="138" t="s">
        <v>640</v>
      </c>
      <c r="G16" s="138" t="s">
        <v>626</v>
      </c>
      <c r="H16">
        <f>(G11*H12)/I13</f>
        <v>119.50207468879668</v>
      </c>
      <c r="K16" s="138" t="s">
        <v>641</v>
      </c>
      <c r="L16" s="138" t="s">
        <v>626</v>
      </c>
      <c r="M16">
        <f>IF(L13+L14=0,0,(L11*M12)/N13)</f>
        <v>0</v>
      </c>
      <c r="P16" s="138" t="s">
        <v>641</v>
      </c>
      <c r="Q16" s="138" t="s">
        <v>626</v>
      </c>
      <c r="R16">
        <f>IF(Q13+Q14=0,0,(Q11*R12)/S13)</f>
        <v>0</v>
      </c>
      <c r="U16" s="138" t="s">
        <v>642</v>
      </c>
      <c r="V16" s="138" t="s">
        <v>626</v>
      </c>
      <c r="W16">
        <f>IF(V13+V14=0,0,(V11*W12)/X13)</f>
        <v>0</v>
      </c>
    </row>
    <row r="17" spans="1:23" x14ac:dyDescent="0.2">
      <c r="B17" s="138" t="s">
        <v>627</v>
      </c>
      <c r="C17">
        <f>(C11*B12)/D13</f>
        <v>45.961002785515319</v>
      </c>
      <c r="G17" s="138" t="s">
        <v>627</v>
      </c>
      <c r="H17">
        <f>(H11*G12)/I13</f>
        <v>118.25726141078839</v>
      </c>
      <c r="L17" s="138" t="s">
        <v>627</v>
      </c>
      <c r="M17">
        <f>IF(L13+M13=0,0,(M11*L12)/N13)</f>
        <v>0</v>
      </c>
      <c r="Q17" s="138" t="s">
        <v>627</v>
      </c>
      <c r="R17">
        <f>IF(Q13+R13=0,0,(R11*Q12)/S13)</f>
        <v>0</v>
      </c>
      <c r="V17" s="138" t="s">
        <v>627</v>
      </c>
      <c r="W17">
        <f>IF(V13+W13=0,0,(W11*V12)/X13)</f>
        <v>0</v>
      </c>
    </row>
    <row r="19" spans="1:23" x14ac:dyDescent="0.2">
      <c r="A19" s="138"/>
      <c r="B19" s="316" t="s">
        <v>667</v>
      </c>
      <c r="C19">
        <f>(1/B11+1/C11+1/B12+1/C12)^-1</f>
        <v>78.870650032829943</v>
      </c>
      <c r="F19" s="372"/>
      <c r="G19" s="328"/>
    </row>
    <row r="20" spans="1:23" x14ac:dyDescent="0.2">
      <c r="A20" s="138"/>
    </row>
  </sheetData>
  <mergeCells count="1">
    <mergeCell ref="O7:P7"/>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workbookViewId="0">
      <selection activeCell="I39" sqref="I39"/>
    </sheetView>
  </sheetViews>
  <sheetFormatPr defaultColWidth="8.7109375" defaultRowHeight="12.75" x14ac:dyDescent="0.2"/>
  <cols>
    <col min="2" max="2" width="7.7109375" customWidth="1"/>
    <col min="3" max="3" width="13.7109375" customWidth="1"/>
    <col min="4" max="4" width="11" customWidth="1"/>
    <col min="5" max="5" width="10" customWidth="1"/>
    <col min="6" max="6" width="11.42578125" customWidth="1"/>
    <col min="7" max="7" width="10.42578125" customWidth="1"/>
    <col min="9" max="9" width="10.42578125" customWidth="1"/>
    <col min="10" max="11" width="10.42578125" bestFit="1" customWidth="1"/>
    <col min="12" max="12" width="7.28515625" customWidth="1"/>
    <col min="13" max="13" width="11.28515625" customWidth="1"/>
  </cols>
  <sheetData>
    <row r="1" spans="1:13" ht="29.25" customHeight="1" x14ac:dyDescent="0.25">
      <c r="A1" s="476" t="s">
        <v>372</v>
      </c>
      <c r="B1" s="477"/>
      <c r="C1" s="477"/>
      <c r="D1" s="477"/>
      <c r="E1" s="477"/>
      <c r="F1" s="477"/>
      <c r="G1" s="477"/>
      <c r="H1" s="478"/>
      <c r="I1" s="478"/>
      <c r="J1" s="478"/>
      <c r="K1" s="479"/>
      <c r="M1" s="146" t="s">
        <v>179</v>
      </c>
    </row>
    <row r="2" spans="1:13" x14ac:dyDescent="0.2">
      <c r="D2" s="162"/>
      <c r="E2" s="162"/>
      <c r="F2" s="162"/>
      <c r="G2" s="161"/>
      <c r="H2" s="161"/>
    </row>
    <row r="3" spans="1:13" ht="18" x14ac:dyDescent="0.25">
      <c r="A3" s="159" t="s">
        <v>208</v>
      </c>
    </row>
    <row r="5" spans="1:13" x14ac:dyDescent="0.2">
      <c r="C5" s="490" t="s">
        <v>367</v>
      </c>
      <c r="E5" s="497" t="s">
        <v>368</v>
      </c>
      <c r="F5" s="498"/>
      <c r="G5" s="498"/>
    </row>
    <row r="6" spans="1:13" x14ac:dyDescent="0.2">
      <c r="C6" s="488"/>
      <c r="E6" s="483" t="s">
        <v>197</v>
      </c>
      <c r="F6" s="483" t="s">
        <v>198</v>
      </c>
      <c r="G6" s="483" t="s">
        <v>199</v>
      </c>
      <c r="H6" s="483" t="s">
        <v>193</v>
      </c>
    </row>
    <row r="7" spans="1:13" x14ac:dyDescent="0.2">
      <c r="A7" t="s">
        <v>201</v>
      </c>
      <c r="B7" s="22" t="s">
        <v>192</v>
      </c>
      <c r="C7" s="489"/>
      <c r="D7" s="334" t="s">
        <v>75</v>
      </c>
      <c r="E7" s="484"/>
      <c r="F7" s="484"/>
      <c r="G7" s="484"/>
      <c r="H7" s="484"/>
    </row>
    <row r="8" spans="1:13" x14ac:dyDescent="0.2">
      <c r="A8" s="2" t="s">
        <v>364</v>
      </c>
      <c r="B8">
        <v>1</v>
      </c>
      <c r="C8" s="156">
        <f>(F8+F20)/($F$11+$F$23)</f>
        <v>0.28866578161301026</v>
      </c>
      <c r="D8" s="20">
        <f>F8/$F$11</f>
        <v>0.7577932271809823</v>
      </c>
      <c r="E8" s="157">
        <v>93</v>
      </c>
      <c r="F8" s="157">
        <v>3379</v>
      </c>
      <c r="G8" s="152">
        <f>E8/F8</f>
        <v>2.7522935779816515E-2</v>
      </c>
      <c r="H8" s="152">
        <f>SQRT(G8*(1-G8)/F8)</f>
        <v>2.8144462966550694E-3</v>
      </c>
      <c r="J8" s="153">
        <f>G8*C8</f>
        <v>7.9449297691654205E-3</v>
      </c>
      <c r="K8" s="153">
        <f>(H8*C8)^2</f>
        <v>6.6004955686287036E-7</v>
      </c>
    </row>
    <row r="9" spans="1:13" x14ac:dyDescent="0.2">
      <c r="A9" s="2" t="s">
        <v>365</v>
      </c>
      <c r="B9">
        <v>2</v>
      </c>
      <c r="C9" s="156">
        <f>(F9+F21)/($F$11+$F$23)</f>
        <v>8.9113840026551608E-2</v>
      </c>
      <c r="D9" s="20">
        <f>F9/$F$11</f>
        <v>0.19600807355909397</v>
      </c>
      <c r="E9" s="158">
        <v>27</v>
      </c>
      <c r="F9" s="158">
        <v>874</v>
      </c>
      <c r="G9" s="152">
        <f>E9/F9</f>
        <v>3.0892448512585814E-2</v>
      </c>
      <c r="H9" s="152">
        <f>SQRT(G9*(1-G9)/F9)</f>
        <v>5.8527023562848354E-3</v>
      </c>
      <c r="J9" s="153">
        <f>G9*C9</f>
        <v>2.7529447147790543E-3</v>
      </c>
      <c r="K9" s="153">
        <f>(H9*C9)^2</f>
        <v>2.7202147632966981E-7</v>
      </c>
    </row>
    <row r="10" spans="1:13" x14ac:dyDescent="0.2">
      <c r="A10" s="2" t="s">
        <v>366</v>
      </c>
      <c r="B10">
        <v>3</v>
      </c>
      <c r="C10" s="156">
        <f>(F10+F22)/($F$11+$F$23)</f>
        <v>0.62222037836043809</v>
      </c>
      <c r="D10" s="20">
        <f>F10/$F$11</f>
        <v>4.6198699259923752E-2</v>
      </c>
      <c r="E10" s="158">
        <v>5</v>
      </c>
      <c r="F10" s="158">
        <v>206</v>
      </c>
      <c r="G10" s="152">
        <f>E10/F10</f>
        <v>2.4271844660194174E-2</v>
      </c>
      <c r="H10" s="152">
        <f>SQRT(G10*(1-G10)/F10)</f>
        <v>1.0722157943074738E-2</v>
      </c>
      <c r="J10" s="153">
        <f>G10*C10</f>
        <v>1.5102436367971797E-2</v>
      </c>
      <c r="K10" s="153">
        <f>(H10*C10)^2</f>
        <v>4.4509514984442796E-5</v>
      </c>
    </row>
    <row r="11" spans="1:13" x14ac:dyDescent="0.2">
      <c r="B11" t="s">
        <v>202</v>
      </c>
      <c r="C11" s="20">
        <f>SUM(C8:C10)</f>
        <v>1</v>
      </c>
      <c r="D11" s="20">
        <f>SUM(D8:D10)</f>
        <v>1</v>
      </c>
      <c r="E11">
        <f>SUM(E8:E10)</f>
        <v>125</v>
      </c>
      <c r="F11">
        <f>SUM(F8:F10)</f>
        <v>4459</v>
      </c>
      <c r="J11" s="153">
        <f>SUM(J8:J10)</f>
        <v>2.5800310851916274E-2</v>
      </c>
      <c r="K11" s="153">
        <f>SUM(K8:K10)</f>
        <v>4.5441586017635338E-5</v>
      </c>
    </row>
    <row r="12" spans="1:13" x14ac:dyDescent="0.2">
      <c r="E12" s="485" t="s">
        <v>211</v>
      </c>
      <c r="F12" s="487"/>
      <c r="G12" s="160">
        <f>E11/F11</f>
        <v>2.803319129849742E-2</v>
      </c>
    </row>
    <row r="13" spans="1:13" x14ac:dyDescent="0.2">
      <c r="D13" s="485" t="s">
        <v>194</v>
      </c>
      <c r="E13" s="486"/>
      <c r="F13" s="487"/>
      <c r="G13" s="155">
        <f>J11</f>
        <v>2.5800310851916274E-2</v>
      </c>
      <c r="H13" s="152"/>
      <c r="I13" t="s">
        <v>370</v>
      </c>
      <c r="J13" s="20">
        <f>G12/G24</f>
        <v>1.3912158269901367</v>
      </c>
    </row>
    <row r="14" spans="1:13" x14ac:dyDescent="0.2">
      <c r="D14" s="485" t="s">
        <v>195</v>
      </c>
      <c r="E14" s="486"/>
      <c r="F14" s="487"/>
      <c r="G14" s="155">
        <f>SQRT(K11)</f>
        <v>6.7410374585545312E-3</v>
      </c>
      <c r="H14" s="152"/>
      <c r="I14" t="s">
        <v>371</v>
      </c>
      <c r="J14" s="20">
        <f>G13/G25</f>
        <v>1.2393410337767716</v>
      </c>
    </row>
    <row r="15" spans="1:13" x14ac:dyDescent="0.2">
      <c r="D15" s="485" t="s">
        <v>196</v>
      </c>
      <c r="E15" s="486"/>
      <c r="F15" s="487"/>
      <c r="G15" s="155">
        <f>G13-1.96*G14</f>
        <v>1.2587877433149392E-2</v>
      </c>
      <c r="H15" s="155">
        <f>G13+1.96*G14</f>
        <v>3.9012744270683158E-2</v>
      </c>
    </row>
    <row r="17" spans="2:11" x14ac:dyDescent="0.2">
      <c r="C17" s="490" t="s">
        <v>367</v>
      </c>
      <c r="E17" s="497" t="s">
        <v>369</v>
      </c>
      <c r="F17" s="498"/>
      <c r="G17" s="498"/>
    </row>
    <row r="18" spans="2:11" x14ac:dyDescent="0.2">
      <c r="C18" s="488"/>
      <c r="E18" s="483" t="s">
        <v>197</v>
      </c>
      <c r="F18" s="483" t="s">
        <v>198</v>
      </c>
      <c r="G18" s="483" t="s">
        <v>199</v>
      </c>
      <c r="H18" s="483" t="s">
        <v>193</v>
      </c>
    </row>
    <row r="19" spans="2:11" x14ac:dyDescent="0.2">
      <c r="B19" s="22" t="s">
        <v>192</v>
      </c>
      <c r="C19" s="489"/>
      <c r="E19" s="484"/>
      <c r="F19" s="484"/>
      <c r="G19" s="484"/>
      <c r="H19" s="484"/>
    </row>
    <row r="20" spans="2:11" x14ac:dyDescent="0.2">
      <c r="B20">
        <v>1</v>
      </c>
      <c r="C20" s="156">
        <f>C8</f>
        <v>0.28866578161301026</v>
      </c>
      <c r="D20" s="20">
        <f>F20/$F$23</f>
        <v>1.3170025023047543E-2</v>
      </c>
      <c r="E20" s="157">
        <v>2</v>
      </c>
      <c r="F20" s="157">
        <v>100</v>
      </c>
      <c r="G20" s="152">
        <f>E20/F20</f>
        <v>0.02</v>
      </c>
      <c r="H20" s="152">
        <f>SQRT(G20*(1-G20)/F20)</f>
        <v>1.4E-2</v>
      </c>
      <c r="J20" s="153">
        <f>G20*C20</f>
        <v>5.7733156322602053E-3</v>
      </c>
      <c r="K20" s="153">
        <f>(H20*C20)^2</f>
        <v>1.6332274960953026E-5</v>
      </c>
    </row>
    <row r="21" spans="2:11" x14ac:dyDescent="0.2">
      <c r="B21">
        <v>2</v>
      </c>
      <c r="C21" s="156">
        <f>C9</f>
        <v>8.9113840026551608E-2</v>
      </c>
      <c r="D21" s="20">
        <f>F21/$F$23</f>
        <v>2.6340050046095086E-2</v>
      </c>
      <c r="E21" s="158">
        <v>6</v>
      </c>
      <c r="F21" s="158">
        <v>200</v>
      </c>
      <c r="G21" s="152">
        <f>E21/F21</f>
        <v>0.03</v>
      </c>
      <c r="H21" s="152">
        <f>SQRT(G21*(1-G21)/F21)</f>
        <v>1.2062338081814818E-2</v>
      </c>
      <c r="J21" s="153">
        <f>G21*C21</f>
        <v>2.673415200796548E-3</v>
      </c>
      <c r="K21" s="153">
        <f>(H21*C21)^2</f>
        <v>1.1554557284624244E-6</v>
      </c>
    </row>
    <row r="22" spans="2:11" x14ac:dyDescent="0.2">
      <c r="B22">
        <v>3</v>
      </c>
      <c r="C22" s="156">
        <f>C10</f>
        <v>0.62222037836043809</v>
      </c>
      <c r="D22" s="20">
        <f>F22/$F$23</f>
        <v>0.96048992493085739</v>
      </c>
      <c r="E22" s="158">
        <v>145</v>
      </c>
      <c r="F22" s="158">
        <v>7293</v>
      </c>
      <c r="G22" s="152">
        <f>E22/F22</f>
        <v>1.9882078705608118E-2</v>
      </c>
      <c r="H22" s="152">
        <f>SQRT(G22*(1-G22)/F22)</f>
        <v>1.6346205433827906E-3</v>
      </c>
      <c r="J22" s="153">
        <f>G22*C22</f>
        <v>1.2371034534795492E-2</v>
      </c>
      <c r="K22" s="153">
        <f>(H22*C22)^2</f>
        <v>1.0344806380761543E-6</v>
      </c>
    </row>
    <row r="23" spans="2:11" x14ac:dyDescent="0.2">
      <c r="B23" t="s">
        <v>202</v>
      </c>
      <c r="C23" s="20">
        <f>SUM(C20:C22)</f>
        <v>1</v>
      </c>
      <c r="E23">
        <f>SUM(E20:E22)</f>
        <v>153</v>
      </c>
      <c r="F23">
        <f>SUM(F20:F22)</f>
        <v>7593</v>
      </c>
      <c r="J23" s="153">
        <f>SUM(J20:J22)</f>
        <v>2.0817765367852244E-2</v>
      </c>
      <c r="K23" s="153">
        <f>SUM(K20:K22)</f>
        <v>1.8522211327491605E-5</v>
      </c>
    </row>
    <row r="24" spans="2:11" x14ac:dyDescent="0.2">
      <c r="E24" s="485" t="s">
        <v>211</v>
      </c>
      <c r="F24" s="487"/>
      <c r="G24" s="160">
        <f>E23/F23</f>
        <v>2.0150138285262742E-2</v>
      </c>
    </row>
    <row r="25" spans="2:11" x14ac:dyDescent="0.2">
      <c r="D25" s="485" t="s">
        <v>194</v>
      </c>
      <c r="E25" s="486"/>
      <c r="F25" s="487"/>
      <c r="G25" s="155">
        <f>J23</f>
        <v>2.0817765367852244E-2</v>
      </c>
      <c r="H25" s="152"/>
    </row>
    <row r="26" spans="2:11" x14ac:dyDescent="0.2">
      <c r="D26" s="485" t="s">
        <v>195</v>
      </c>
      <c r="E26" s="486"/>
      <c r="F26" s="487"/>
      <c r="G26" s="155">
        <f>SQRT(K23)</f>
        <v>4.3037438733609145E-3</v>
      </c>
      <c r="H26" s="152"/>
    </row>
    <row r="27" spans="2:11" x14ac:dyDescent="0.2">
      <c r="D27" s="485" t="s">
        <v>196</v>
      </c>
      <c r="E27" s="486"/>
      <c r="F27" s="487"/>
      <c r="G27" s="155">
        <f>G25-1.96*G26</f>
        <v>1.2382427376064851E-2</v>
      </c>
      <c r="H27" s="155">
        <f>G25+1.96*G26</f>
        <v>2.9253103359639637E-2</v>
      </c>
    </row>
  </sheetData>
  <mergeCells count="21">
    <mergeCell ref="A1:K1"/>
    <mergeCell ref="D14:F14"/>
    <mergeCell ref="E6:E7"/>
    <mergeCell ref="F6:F7"/>
    <mergeCell ref="C17:C19"/>
    <mergeCell ref="D13:F13"/>
    <mergeCell ref="D15:F15"/>
    <mergeCell ref="E18:E19"/>
    <mergeCell ref="E5:G5"/>
    <mergeCell ref="H18:H19"/>
    <mergeCell ref="F18:F19"/>
    <mergeCell ref="E17:G17"/>
    <mergeCell ref="G6:G7"/>
    <mergeCell ref="H6:H7"/>
    <mergeCell ref="E12:F12"/>
    <mergeCell ref="C5:C7"/>
    <mergeCell ref="D27:F27"/>
    <mergeCell ref="D25:F25"/>
    <mergeCell ref="D26:F26"/>
    <mergeCell ref="G18:G19"/>
    <mergeCell ref="E24:F24"/>
  </mergeCells>
  <hyperlinks>
    <hyperlink ref="M1" location="'Main Menu'!A1" display="Main Menu"/>
  </hyperlinks>
  <pageMargins left="0.7" right="0.7" top="0.75" bottom="0.75" header="0.3" footer="0.3"/>
  <pageSetup orientation="portrait"/>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9"/>
  <sheetViews>
    <sheetView topLeftCell="A14" workbookViewId="0">
      <selection activeCell="A9" sqref="A9:B9"/>
    </sheetView>
  </sheetViews>
  <sheetFormatPr defaultColWidth="9.140625" defaultRowHeight="12.75" x14ac:dyDescent="0.2"/>
  <cols>
    <col min="1" max="1" width="11.140625" style="75" customWidth="1"/>
    <col min="2" max="2" width="13.140625" style="75" customWidth="1"/>
    <col min="3" max="3" width="11.28515625" style="75" customWidth="1"/>
    <col min="4" max="4" width="5.7109375" style="75" customWidth="1"/>
    <col min="5" max="6" width="12.28515625" style="75" customWidth="1"/>
    <col min="7" max="7" width="6.140625" style="75" customWidth="1"/>
    <col min="8" max="8" width="10.42578125" style="75" customWidth="1"/>
    <col min="9" max="10" width="14.42578125" style="75" customWidth="1"/>
    <col min="11" max="11" width="8.42578125" style="75" customWidth="1"/>
    <col min="12" max="12" width="5.7109375" style="75" customWidth="1"/>
    <col min="13" max="14" width="13.42578125" style="75" customWidth="1"/>
    <col min="15" max="15" width="1.28515625" style="75" customWidth="1"/>
    <col min="16" max="16" width="10.140625" style="75" customWidth="1"/>
    <col min="17" max="16384" width="9.140625" style="75"/>
  </cols>
  <sheetData>
    <row r="1" spans="1:17" ht="38.25" customHeight="1" x14ac:dyDescent="0.2">
      <c r="A1" s="398" t="s">
        <v>258</v>
      </c>
      <c r="B1" s="398"/>
      <c r="C1" s="398"/>
      <c r="E1" s="267"/>
      <c r="F1" s="267"/>
      <c r="P1" s="146" t="s">
        <v>179</v>
      </c>
    </row>
    <row r="2" spans="1:17" x14ac:dyDescent="0.2">
      <c r="A2" s="257"/>
      <c r="B2" s="257"/>
    </row>
    <row r="3" spans="1:17" x14ac:dyDescent="0.2">
      <c r="A3" s="257"/>
      <c r="B3" s="257"/>
    </row>
    <row r="4" spans="1:17" x14ac:dyDescent="0.2">
      <c r="A4" s="257"/>
      <c r="B4" s="257"/>
      <c r="C4" s="257"/>
      <c r="D4" s="257"/>
      <c r="E4" s="257"/>
      <c r="F4" s="257"/>
      <c r="G4" s="257"/>
      <c r="H4" s="257"/>
      <c r="I4" s="257"/>
      <c r="J4" s="257"/>
      <c r="K4" s="257"/>
      <c r="L4" s="257"/>
      <c r="M4" s="257"/>
      <c r="N4" s="257"/>
      <c r="O4" s="257"/>
    </row>
    <row r="5" spans="1:17" ht="27.75" customHeight="1" x14ac:dyDescent="0.2">
      <c r="A5" s="239"/>
      <c r="B5" s="239"/>
      <c r="C5" s="268"/>
      <c r="D5" s="260"/>
      <c r="E5" s="269"/>
      <c r="F5" s="269"/>
      <c r="G5" s="117"/>
      <c r="H5" s="260"/>
      <c r="I5" s="269"/>
      <c r="J5" s="269"/>
      <c r="K5" s="117"/>
      <c r="L5" s="260"/>
      <c r="M5" s="269"/>
      <c r="N5" s="269"/>
      <c r="O5" s="270"/>
    </row>
    <row r="6" spans="1:17" ht="12.75" customHeight="1" x14ac:dyDescent="0.2">
      <c r="A6" s="271"/>
      <c r="B6" s="271"/>
      <c r="C6" s="271"/>
      <c r="D6" s="272"/>
      <c r="E6" s="395" t="s">
        <v>126</v>
      </c>
      <c r="F6" s="395"/>
      <c r="G6" s="273"/>
      <c r="H6" s="271"/>
      <c r="I6" s="396" t="s">
        <v>127</v>
      </c>
      <c r="J6" s="396"/>
      <c r="K6" s="273"/>
      <c r="L6" s="271"/>
      <c r="M6" s="397" t="s">
        <v>128</v>
      </c>
      <c r="N6" s="397"/>
      <c r="O6" s="274"/>
      <c r="P6" s="271"/>
      <c r="Q6" s="271"/>
    </row>
    <row r="7" spans="1:17" x14ac:dyDescent="0.2">
      <c r="A7" s="271"/>
      <c r="B7" s="275" t="s">
        <v>140</v>
      </c>
      <c r="C7" s="275" t="s">
        <v>131</v>
      </c>
      <c r="D7" s="263" t="s">
        <v>132</v>
      </c>
      <c r="E7" s="276" t="s">
        <v>133</v>
      </c>
      <c r="F7" s="276" t="s">
        <v>134</v>
      </c>
      <c r="G7" s="277"/>
      <c r="H7" s="263" t="s">
        <v>132</v>
      </c>
      <c r="I7" s="276" t="s">
        <v>133</v>
      </c>
      <c r="J7" s="276" t="s">
        <v>134</v>
      </c>
      <c r="K7" s="277"/>
      <c r="L7" s="263" t="s">
        <v>132</v>
      </c>
      <c r="M7" s="276" t="s">
        <v>133</v>
      </c>
      <c r="N7" s="276" t="s">
        <v>134</v>
      </c>
      <c r="O7" s="271"/>
      <c r="P7" s="271"/>
      <c r="Q7" s="271"/>
    </row>
    <row r="8" spans="1:17" ht="12.75" customHeight="1" x14ac:dyDescent="0.2">
      <c r="A8" s="275" t="s">
        <v>129</v>
      </c>
      <c r="B8" s="275" t="s">
        <v>130</v>
      </c>
      <c r="C8" s="275" t="s">
        <v>135</v>
      </c>
      <c r="D8" s="264"/>
      <c r="E8" s="276" t="s">
        <v>136</v>
      </c>
      <c r="F8" s="276" t="s">
        <v>136</v>
      </c>
      <c r="G8" s="273"/>
      <c r="H8" s="264"/>
      <c r="I8" s="276" t="s">
        <v>136</v>
      </c>
      <c r="J8" s="276" t="s">
        <v>136</v>
      </c>
      <c r="K8" s="273"/>
      <c r="L8" s="264"/>
      <c r="M8" s="276" t="s">
        <v>136</v>
      </c>
      <c r="N8" s="276" t="s">
        <v>136</v>
      </c>
      <c r="O8" s="271"/>
      <c r="P8" s="271"/>
      <c r="Q8" s="271"/>
    </row>
    <row r="9" spans="1:17" ht="12.75" customHeight="1" x14ac:dyDescent="0.2">
      <c r="A9" s="265"/>
      <c r="B9" s="265"/>
      <c r="C9" s="278" t="e">
        <f>A9/B9</f>
        <v>#DIV/0!</v>
      </c>
      <c r="D9" s="262"/>
      <c r="E9" s="279" t="e">
        <f>($B9/($B9+1.645^2))*(($A9/$B9)+(1.645^2/(2*$B9))-1.645*SQRT(($A9*($B9-$A9)/($B9^3))+(1.645^2/(4*$B9^2))))</f>
        <v>#DIV/0!</v>
      </c>
      <c r="F9" s="279" t="e">
        <f>($B9/($B9+1.645^2))*(($A9/$B9)+(1.645^2/(2*$B9))+1.645*SQRT(($A9*($B9-$A9)/($B9^3))+(1.645^2/(4*$B9^2))))</f>
        <v>#DIV/0!</v>
      </c>
      <c r="G9" s="280"/>
      <c r="H9" s="281"/>
      <c r="I9" s="279" t="e">
        <f>($B9/($B9+1.96^2))*(($A9/$B9)+(1.96^2/(2*$B9))-1.96*SQRT(($A9*($B9-$A9)/($B9^3))+(1.96^2/(4*$B9^2))))</f>
        <v>#DIV/0!</v>
      </c>
      <c r="J9" s="279" t="e">
        <f>($B9/($B9+1.96^2))*(($A9/$B9)+(1.96^2/(2*$B9))+1.96*SQRT(($A9*($B9-$A9)/($B9^3))+(1.96^2/(4*$B9^2))))</f>
        <v>#DIV/0!</v>
      </c>
      <c r="K9" s="280"/>
      <c r="L9" s="262"/>
      <c r="M9" s="279" t="e">
        <f>($B9/($B9+2.575^2))*(($A9/$B9)+(2.575^2/(2*$B9))-2.575*SQRT(($A9*($B9-$A9)/($B9^3))+(2.57^2/(4*$B9^2))))</f>
        <v>#DIV/0!</v>
      </c>
      <c r="N9" s="279" t="e">
        <f>($B9/($B9+2.575^2))*(($A9/$B9)+(2.575^2/(2*$B9))+2.575*SQRT(($A9*($B9-$A9)/($B9^3))+(2.575^2/(4*$B9^2))))</f>
        <v>#DIV/0!</v>
      </c>
      <c r="O9" s="271"/>
      <c r="P9" s="271"/>
      <c r="Q9" s="271"/>
    </row>
    <row r="10" spans="1:17" x14ac:dyDescent="0.2">
      <c r="A10" s="265">
        <v>10</v>
      </c>
      <c r="B10" s="265">
        <v>20</v>
      </c>
      <c r="C10" s="278">
        <f>A10/B10</f>
        <v>0.5</v>
      </c>
      <c r="D10" s="262"/>
      <c r="E10" s="279">
        <f>($B10/($B10+1.645^2))*(($A10/$B10)+(1.645^2/(2*$B10))-1.645*SQRT(($A10*($B10-$A10)/($B10^3))+(1.645^2/(4*$B10^2))))</f>
        <v>0.32739023917605581</v>
      </c>
      <c r="F10" s="279">
        <f>($B10/($B10+1.645^2))*(($A10/$B10)+(1.645^2/(2*$B10))+1.645*SQRT(($A10*($B10-$A10)/($B10^3))+(1.645^2/(4*$B10^2))))</f>
        <v>0.67260976082394408</v>
      </c>
      <c r="G10" s="280"/>
      <c r="H10" s="281"/>
      <c r="I10" s="279">
        <f>($B10/($B10+1.96^2))*(($A10/$B10)+(1.96^2/(2*$B10))-1.96*SQRT(($A10*($B10-$A10)/($B10^3))+(1.96^2/(4*$B10^2))))</f>
        <v>0.29929491442981992</v>
      </c>
      <c r="J10" s="279">
        <f>($B10/($B10+1.96^2))*(($A10/$B10)+(1.96^2/(2*$B10))+1.96*SQRT(($A10*($B10-$A10)/($B10^3))+(1.96^2/(4*$B10^2))))</f>
        <v>0.70070508557018008</v>
      </c>
      <c r="K10" s="280"/>
      <c r="L10" s="262"/>
      <c r="M10" s="279">
        <f>($B10/($B10+2.575^2))*(($A10/$B10)+(2.575^2/(2*$B10))-2.575*SQRT(($A10*($B10-$A10)/($B10^3))+(2.57^2/(4*$B10^2))))</f>
        <v>0.25062857096282548</v>
      </c>
      <c r="N10" s="279">
        <f>($B10/($B10+2.575^2))*(($A10/$B10)+(2.575^2/(2*$B10))+2.575*SQRT(($A10*($B10-$A10)/($B10^3))+(2.575^2/(4*$B10^2))))</f>
        <v>0.74949196190954948</v>
      </c>
      <c r="O10" s="271"/>
      <c r="P10" s="271"/>
      <c r="Q10" s="271"/>
    </row>
    <row r="11" spans="1:17" x14ac:dyDescent="0.2">
      <c r="A11" s="265">
        <v>70</v>
      </c>
      <c r="B11" s="265">
        <v>100</v>
      </c>
      <c r="C11" s="278">
        <f>A11/B11</f>
        <v>0.7</v>
      </c>
      <c r="D11" s="262"/>
      <c r="E11" s="279">
        <f>($B11/($B11+1.645^2))*(($A11/$B11)+(1.645^2/(2*$B11))-1.645*SQRT(($A11*($B11-$A11)/($B11^3))+(1.645^2/(4*$B11^2))))</f>
        <v>0.62016046029505012</v>
      </c>
      <c r="F11" s="279">
        <f>($B11/($B11+1.645^2))*(($A11/$B11)+(1.645^2/(2*$B11))+1.645*SQRT(($A11*($B11-$A11)/($B11^3))+(1.645^2/(4*$B11^2))))</f>
        <v>0.76930062536180388</v>
      </c>
      <c r="G11" s="280"/>
      <c r="H11" s="281"/>
      <c r="I11" s="279">
        <f>($B11/($B11+1.96^2))*(($A11/$B11)+(1.96^2/(2*$B11))-1.96*SQRT(($A11*($B11-$A11)/($B11^3))+(1.96^2/(4*$B11^2))))</f>
        <v>0.60414961567188041</v>
      </c>
      <c r="J11" s="279">
        <f>($B11/($B11+1.96^2))*(($A11/$B11)+(1.96^2/(2*$B11))+1.96*SQRT(($A11*($B11-$A11)/($B11^3))+(1.96^2/(4*$B11^2))))</f>
        <v>0.78105246133771877</v>
      </c>
      <c r="K11" s="280"/>
      <c r="L11" s="262"/>
      <c r="M11" s="279">
        <f>($B11/($B11+2.575^2))*(($A11/$B11)+(2.575^2/(2*$B11))-2.575*SQRT(($A11*($B11-$A11)/($B11^3))+(2.57^2/(4*$B11^2))))</f>
        <v>0.57263133318091963</v>
      </c>
      <c r="N11" s="279">
        <f>($B11/($B11+2.575^2))*(($A11/$B11)+(2.575^2/(2*$B11))+2.575*SQRT(($A11*($B11-$A11)/($B11^3))+(2.575^2/(4*$B11^2))))</f>
        <v>0.80251173351624061</v>
      </c>
      <c r="O11" s="281"/>
      <c r="P11" s="271"/>
      <c r="Q11" s="271"/>
    </row>
    <row r="12" spans="1:17" x14ac:dyDescent="0.2">
      <c r="A12" s="265">
        <v>7</v>
      </c>
      <c r="B12" s="265">
        <v>10000</v>
      </c>
      <c r="C12" s="278">
        <f>A12/B12</f>
        <v>6.9999999999999999E-4</v>
      </c>
      <c r="D12" s="262"/>
      <c r="E12" s="279">
        <f>($B12/($B12+1.645^2))*(($A12/$B12)+(1.645^2/(2*$B12))-1.645*SQRT(($A12*($B12-$A12)/($B12^3))+(1.645^2/(4*$B12^2))))</f>
        <v>3.7957195400069386E-4</v>
      </c>
      <c r="F12" s="279">
        <f>($B12/($B12+1.645^2))*(($A12/$B12)+(1.645^2/(2*$B12))+1.645*SQRT(($A12*($B12-$A12)/($B12^3))+(1.645^2/(4*$B12^2))))</f>
        <v>1.290578599084265E-3</v>
      </c>
      <c r="G12" s="280"/>
      <c r="H12" s="281"/>
      <c r="I12" s="279">
        <f>($B12/($B12+1.96^2))*(($A12/$B12)+(1.96^2/(2*$B12))-1.96*SQRT(($A12*($B12-$A12)/($B12^3))+(1.96^2/(4*$B12^2))))</f>
        <v>3.3912200289172941E-4</v>
      </c>
      <c r="J12" s="279">
        <f>($B12/($B12+1.96^2))*(($A12/$B12)+(1.96^2/(2*$B12))+1.96*SQRT(($A12*($B12-$A12)/($B12^3))+(1.96^2/(4*$B12^2))))</f>
        <v>1.4443528574059384E-3</v>
      </c>
      <c r="K12" s="280"/>
      <c r="L12" s="262"/>
      <c r="M12" s="279">
        <f>($B12/($B12+2.575^2))*(($A12/$B12)+(2.575^2/(2*$B12))-2.575*SQRT(($A12*($B12-$A12)/($B12^3))+(2.57^2/(4*$B12^2))))</f>
        <v>2.7418012623514398E-4</v>
      </c>
      <c r="N12" s="279">
        <f>($B12/($B12+2.575^2))*(($A12/$B12)+(2.575^2/(2*$B12))+2.575*SQRT(($A12*($B12-$A12)/($B12^3))+(2.575^2/(4*$B12^2))))</f>
        <v>1.7877966981526348E-3</v>
      </c>
      <c r="O12" s="281"/>
      <c r="P12" s="271"/>
      <c r="Q12" s="271"/>
    </row>
    <row r="13" spans="1:17" x14ac:dyDescent="0.2">
      <c r="A13" s="282"/>
      <c r="B13" s="282"/>
      <c r="C13" s="278"/>
      <c r="D13" s="262"/>
      <c r="E13" s="279"/>
      <c r="F13" s="279"/>
      <c r="G13" s="283"/>
      <c r="H13" s="281"/>
      <c r="I13" s="279"/>
      <c r="J13" s="279"/>
      <c r="K13" s="283"/>
      <c r="L13" s="262"/>
      <c r="M13" s="279"/>
      <c r="N13" s="279"/>
      <c r="O13" s="281"/>
      <c r="P13" s="271"/>
      <c r="Q13" s="271"/>
    </row>
    <row r="14" spans="1:17" x14ac:dyDescent="0.2">
      <c r="A14" s="282"/>
      <c r="B14" s="282"/>
      <c r="C14" s="284"/>
      <c r="D14" s="261"/>
      <c r="E14" s="285"/>
      <c r="F14" s="285"/>
      <c r="G14" s="282"/>
      <c r="H14" s="271"/>
      <c r="I14" s="285"/>
      <c r="J14" s="285"/>
      <c r="K14" s="282"/>
      <c r="L14" s="262"/>
      <c r="M14" s="285"/>
      <c r="N14" s="285"/>
      <c r="O14" s="281"/>
      <c r="P14" s="271"/>
      <c r="Q14" s="271"/>
    </row>
    <row r="15" spans="1:17" x14ac:dyDescent="0.2">
      <c r="A15" s="282"/>
      <c r="B15" s="282"/>
      <c r="C15" s="284"/>
      <c r="D15" s="261"/>
      <c r="E15" s="285"/>
      <c r="F15" s="285"/>
      <c r="G15" s="282"/>
      <c r="H15" s="271"/>
      <c r="I15" s="285"/>
      <c r="J15" s="285"/>
      <c r="K15" s="282"/>
      <c r="L15" s="262"/>
      <c r="M15" s="285"/>
      <c r="N15" s="285"/>
      <c r="O15" s="281"/>
      <c r="P15" s="271"/>
      <c r="Q15" s="271"/>
    </row>
    <row r="16" spans="1:17" x14ac:dyDescent="0.2">
      <c r="A16" s="282"/>
      <c r="B16" s="282"/>
      <c r="C16" s="284"/>
      <c r="D16" s="261"/>
      <c r="E16" s="285"/>
      <c r="F16" s="285"/>
      <c r="G16" s="282"/>
      <c r="H16" s="271"/>
      <c r="I16" s="285"/>
      <c r="J16" s="285"/>
      <c r="K16" s="282"/>
      <c r="L16" s="262"/>
      <c r="M16" s="285"/>
      <c r="N16" s="285"/>
      <c r="O16" s="281"/>
      <c r="P16" s="271"/>
      <c r="Q16" s="271"/>
    </row>
    <row r="17" spans="1:17" x14ac:dyDescent="0.2">
      <c r="A17" s="282"/>
      <c r="B17" s="282"/>
      <c r="C17" s="284"/>
      <c r="D17" s="261"/>
      <c r="E17" s="285"/>
      <c r="F17" s="285"/>
      <c r="G17" s="282"/>
      <c r="H17" s="271"/>
      <c r="I17" s="285"/>
      <c r="J17" s="285"/>
      <c r="K17" s="282"/>
      <c r="L17" s="262"/>
      <c r="M17" s="285"/>
      <c r="N17" s="285"/>
      <c r="O17" s="281"/>
      <c r="P17" s="271"/>
      <c r="Q17" s="271"/>
    </row>
    <row r="18" spans="1:17" x14ac:dyDescent="0.2">
      <c r="A18" s="282"/>
      <c r="B18" s="282"/>
      <c r="C18" s="284"/>
      <c r="D18" s="261"/>
      <c r="E18" s="285"/>
      <c r="F18" s="285"/>
      <c r="G18" s="282"/>
      <c r="H18" s="271"/>
      <c r="I18" s="285"/>
      <c r="J18" s="285"/>
      <c r="K18" s="282"/>
      <c r="L18" s="262"/>
      <c r="M18" s="285"/>
      <c r="N18" s="285"/>
      <c r="O18" s="281"/>
      <c r="P18" s="271"/>
      <c r="Q18" s="271"/>
    </row>
    <row r="19" spans="1:17" x14ac:dyDescent="0.2">
      <c r="A19" s="281"/>
      <c r="B19" s="281"/>
      <c r="C19" s="271"/>
      <c r="D19" s="271"/>
      <c r="E19" s="271"/>
      <c r="F19" s="271"/>
      <c r="G19" s="271"/>
      <c r="H19" s="271"/>
      <c r="I19" s="271"/>
      <c r="J19" s="271"/>
      <c r="K19" s="271"/>
      <c r="L19" s="271"/>
      <c r="M19" s="271"/>
      <c r="N19" s="271"/>
      <c r="O19" s="271"/>
      <c r="P19" s="271"/>
      <c r="Q19" s="271"/>
    </row>
    <row r="20" spans="1:17" x14ac:dyDescent="0.2">
      <c r="A20" s="271"/>
      <c r="B20" s="271"/>
      <c r="C20" s="271"/>
      <c r="D20" s="271"/>
      <c r="E20" s="271"/>
      <c r="F20" s="271"/>
      <c r="G20" s="271"/>
      <c r="H20" s="271"/>
      <c r="I20" s="271"/>
      <c r="J20" s="271"/>
      <c r="K20" s="271"/>
      <c r="L20" s="271"/>
      <c r="M20" s="271"/>
      <c r="N20" s="271"/>
      <c r="O20" s="271"/>
      <c r="P20" s="271"/>
      <c r="Q20" s="271"/>
    </row>
    <row r="21" spans="1:17" x14ac:dyDescent="0.2">
      <c r="A21" s="281"/>
      <c r="B21" s="281"/>
      <c r="C21" s="271"/>
      <c r="D21" s="271"/>
      <c r="E21" s="271"/>
      <c r="F21" s="271"/>
      <c r="G21" s="271"/>
      <c r="H21" s="271"/>
      <c r="I21" s="271"/>
      <c r="J21" s="271"/>
      <c r="K21" s="271"/>
      <c r="L21" s="271"/>
      <c r="M21" s="271"/>
      <c r="N21" s="271"/>
      <c r="O21" s="271"/>
      <c r="P21" s="271"/>
      <c r="Q21" s="271"/>
    </row>
    <row r="22" spans="1:17" x14ac:dyDescent="0.2">
      <c r="A22" s="281"/>
      <c r="B22" s="281"/>
      <c r="C22" s="281"/>
      <c r="D22" s="281"/>
      <c r="E22" s="281"/>
      <c r="F22" s="281"/>
      <c r="G22" s="281"/>
      <c r="H22" s="281"/>
      <c r="I22" s="281"/>
      <c r="J22" s="281"/>
      <c r="K22" s="281"/>
      <c r="L22" s="281"/>
      <c r="M22" s="281"/>
      <c r="N22" s="281"/>
      <c r="O22" s="281"/>
      <c r="P22" s="271"/>
      <c r="Q22" s="271"/>
    </row>
    <row r="23" spans="1:17" x14ac:dyDescent="0.2">
      <c r="A23" s="271"/>
      <c r="B23" s="271"/>
      <c r="C23" s="271"/>
      <c r="D23" s="272"/>
      <c r="E23" s="395" t="s">
        <v>126</v>
      </c>
      <c r="F23" s="395"/>
      <c r="G23" s="273"/>
      <c r="H23" s="271"/>
      <c r="I23" s="396" t="s">
        <v>127</v>
      </c>
      <c r="J23" s="396"/>
      <c r="K23" s="273"/>
      <c r="L23" s="271"/>
      <c r="M23" s="397" t="s">
        <v>128</v>
      </c>
      <c r="N23" s="397"/>
      <c r="O23" s="281"/>
      <c r="P23" s="271"/>
      <c r="Q23" s="271"/>
    </row>
    <row r="24" spans="1:17" x14ac:dyDescent="0.2">
      <c r="A24" s="271"/>
      <c r="B24" s="275" t="s">
        <v>310</v>
      </c>
      <c r="C24" s="275" t="s">
        <v>131</v>
      </c>
      <c r="D24" s="263" t="s">
        <v>132</v>
      </c>
      <c r="E24" s="276" t="s">
        <v>133</v>
      </c>
      <c r="F24" s="276" t="s">
        <v>134</v>
      </c>
      <c r="G24" s="277"/>
      <c r="H24" s="263" t="s">
        <v>132</v>
      </c>
      <c r="I24" s="276" t="s">
        <v>133</v>
      </c>
      <c r="J24" s="276" t="s">
        <v>134</v>
      </c>
      <c r="K24" s="277"/>
      <c r="L24" s="263" t="s">
        <v>132</v>
      </c>
      <c r="M24" s="276" t="s">
        <v>133</v>
      </c>
      <c r="N24" s="276" t="s">
        <v>134</v>
      </c>
      <c r="O24" s="281"/>
      <c r="P24" s="271"/>
      <c r="Q24" s="271"/>
    </row>
    <row r="25" spans="1:17" x14ac:dyDescent="0.2">
      <c r="A25" s="275" t="s">
        <v>129</v>
      </c>
      <c r="B25" s="275" t="s">
        <v>130</v>
      </c>
      <c r="C25" s="275" t="s">
        <v>311</v>
      </c>
      <c r="D25" s="264"/>
      <c r="E25" s="276" t="s">
        <v>136</v>
      </c>
      <c r="F25" s="276" t="s">
        <v>136</v>
      </c>
      <c r="G25" s="273"/>
      <c r="H25" s="264"/>
      <c r="I25" s="276" t="s">
        <v>136</v>
      </c>
      <c r="J25" s="276" t="s">
        <v>136</v>
      </c>
      <c r="K25" s="273"/>
      <c r="L25" s="264"/>
      <c r="M25" s="276" t="s">
        <v>136</v>
      </c>
      <c r="N25" s="276" t="s">
        <v>136</v>
      </c>
      <c r="O25" s="281"/>
      <c r="P25" s="271"/>
      <c r="Q25" s="271"/>
    </row>
    <row r="26" spans="1:17" x14ac:dyDescent="0.2">
      <c r="A26" s="287">
        <v>3</v>
      </c>
      <c r="B26" s="287">
        <v>2500</v>
      </c>
      <c r="C26" s="281">
        <f>$A26/$B26</f>
        <v>1.1999999999999999E-3</v>
      </c>
      <c r="D26" s="281"/>
      <c r="E26" s="286">
        <f>(($A26+0.5)*((1-(1/(9*($A26+0.5)))-(1.645/3)*SQRT((1/($A26+0.5)))))^3)/$B26</f>
        <v>4.3086703949375682E-4</v>
      </c>
      <c r="F26" s="286">
        <f>(($A26+0.5)*((1-(1/(9*($A26+0.5)))+(1.645/3)*SQRT((1/($A26+0.5)))))^3)/$B26</f>
        <v>2.8095408376653365E-3</v>
      </c>
      <c r="G26" s="273"/>
      <c r="H26" s="286"/>
      <c r="I26" s="286">
        <f>(($A26+0.5)*((1-(1/(9*($A26+0.5)))-(1.96/3)*SQRT((1/($A26+0.5)))))^3)/$B26</f>
        <v>3.3209980733005294E-4</v>
      </c>
      <c r="J26" s="286">
        <f>(($A26+0.5)*((1-(1/(9*($A26+0.5)))+(1.96/3)*SQRT((1/($A26+0.5)))))^3)/$B26</f>
        <v>3.2015147364957072E-3</v>
      </c>
      <c r="K26" s="273"/>
      <c r="L26" s="286"/>
      <c r="M26" s="286">
        <f>(($A26+0.5)*((1-(1/(9*($A26+0.5)))-(2.575/3)*SQRT((1/($A26+0.5)))))^3)/$B26</f>
        <v>1.8511721538331253E-4</v>
      </c>
      <c r="N26" s="286">
        <f>(($A26+0.5)*((1-(1/(9*($A26+0.5)))+(2.575/3)*SQRT((1/($A26+0.5)))))^3)/$B26</f>
        <v>4.0686265347916542E-3</v>
      </c>
      <c r="O26" s="281"/>
      <c r="P26" s="271"/>
      <c r="Q26" s="271"/>
    </row>
    <row r="27" spans="1:17" x14ac:dyDescent="0.2">
      <c r="A27" s="287">
        <v>10</v>
      </c>
      <c r="B27" s="287">
        <v>2500</v>
      </c>
      <c r="C27" s="281">
        <f>$A27/$B27</f>
        <v>4.0000000000000001E-3</v>
      </c>
      <c r="D27" s="281"/>
      <c r="E27" s="286">
        <f>(($A27+0.5)*((1-(1/(9*($A27+0.5)))-(1.645/3)*SQRT((1/($A27+0.5)))))^3)/$B27</f>
        <v>2.3174290094093619E-3</v>
      </c>
      <c r="F27" s="286">
        <f>(($A27+0.5)*((1-(1/(9*($A27+0.5)))+(1.645/3)*SQRT((1/($A27+0.5)))))^3)/$B27</f>
        <v>6.5326868570121975E-3</v>
      </c>
      <c r="G27" s="273"/>
      <c r="H27" s="286"/>
      <c r="I27" s="286">
        <f>(($A27+0.5)*((1-(1/(9*($A27+0.5)))-(1.96/3)*SQRT((1/($A27+0.5)))))^3)/$B27</f>
        <v>2.0534723548352842E-3</v>
      </c>
      <c r="J27" s="286">
        <f>(($A27+0.5)*((1-(1/(9*($A27+0.5)))+(1.96/3)*SQRT((1/($A27+0.5)))))^3)/$B27</f>
        <v>7.09625906714183E-3</v>
      </c>
      <c r="K27" s="273"/>
      <c r="L27" s="286"/>
      <c r="M27" s="286">
        <f>(($A27+0.5)*((1-(1/(9*($A27+0.5)))-(2.575/3)*SQRT((1/($A27+0.5)))))^3)/$B27</f>
        <v>1.5974211745008024E-3</v>
      </c>
      <c r="N27" s="286">
        <f>(($A27+0.5)*((1-(1/(9*($A27+0.5)))+(2.575/3)*SQRT((1/($A27+0.5)))))^3)/$B27</f>
        <v>8.2881799829260441E-3</v>
      </c>
    </row>
    <row r="28" spans="1:17" x14ac:dyDescent="0.2">
      <c r="A28" s="287">
        <v>20</v>
      </c>
      <c r="B28" s="287">
        <v>2500</v>
      </c>
      <c r="C28" s="281">
        <f>$A28/$B28</f>
        <v>8.0000000000000002E-3</v>
      </c>
      <c r="D28" s="281"/>
      <c r="E28" s="286">
        <f>(($A28+0.5)*((1-(1/(9*($A28+0.5)))-(1.645/3)*SQRT((1/($A28+0.5)))))^3)/$B28</f>
        <v>5.4646564314323525E-3</v>
      </c>
      <c r="F28" s="286">
        <f>(($A28+0.5)*((1-(1/(9*($A28+0.5)))+(1.645/3)*SQRT((1/($A28+0.5)))))^3)/$B28</f>
        <v>1.1387815157821873E-2</v>
      </c>
      <c r="G28" s="273"/>
      <c r="H28" s="286"/>
      <c r="I28" s="286">
        <f>(($A28+0.5)*((1-(1/(9*($A28+0.5)))-(1.96/3)*SQRT((1/($A28+0.5)))))^3)/$B28</f>
        <v>5.0408521597527208E-3</v>
      </c>
      <c r="J28" s="286">
        <f>(($A28+0.5)*((1-(1/(9*($A28+0.5)))+(1.96/3)*SQRT((1/($A28+0.5)))))^3)/$B28</f>
        <v>1.2112798128688493E-2</v>
      </c>
      <c r="K28" s="273"/>
      <c r="L28" s="286"/>
      <c r="M28" s="286">
        <f>(($A28+0.5)*((1-(1/(9*($A28+0.5)))-(2.575/3)*SQRT((1/($A28+0.5)))))^3)/$B28</f>
        <v>4.2777059009559632E-3</v>
      </c>
      <c r="N28" s="286">
        <f>(($A28+0.5)*((1-(1/(9*($A28+0.5)))+(2.575/3)*SQRT((1/($A28+0.5)))))^3)/$B28</f>
        <v>1.3615653276374141E-2</v>
      </c>
    </row>
    <row r="29" spans="1:17" x14ac:dyDescent="0.2">
      <c r="A29" s="287">
        <v>50</v>
      </c>
      <c r="B29" s="287">
        <v>2500</v>
      </c>
      <c r="C29" s="281">
        <f>$A29/$B29</f>
        <v>0.02</v>
      </c>
      <c r="D29" s="281"/>
      <c r="E29" s="286">
        <f>(($A29+0.5)*((1-(1/(9*($A29+0.5)))-(1.645/3)*SQRT((1/($A29+0.5)))))^3)/$B29</f>
        <v>1.5762274415379515E-2</v>
      </c>
      <c r="F29" s="286">
        <f>(($A29+0.5)*((1-(1/(9*($A29+0.5)))+(1.645/3)*SQRT((1/($A29+0.5)))))^3)/$B29</f>
        <v>2.5091664186215404E-2</v>
      </c>
      <c r="G29" s="273"/>
      <c r="H29" s="286"/>
      <c r="I29" s="286">
        <f>(($A29+0.5)*((1-(1/(9*($A29+0.5)))-(1.96/3)*SQRT((1/($A29+0.5)))))^3)/$B29</f>
        <v>1.5015471786359339E-2</v>
      </c>
      <c r="J29" s="286">
        <f>(($A29+0.5)*((1-(1/(9*($A29+0.5)))+(1.96/3)*SQRT((1/($A29+0.5)))))^3)/$B29</f>
        <v>2.6140620544608521E-2</v>
      </c>
      <c r="K29" s="273"/>
      <c r="L29" s="286"/>
      <c r="M29" s="286">
        <f>(($A29+0.5)*((1-(1/(9*($A29+0.5)))-(2.575/3)*SQRT((1/($A29+0.5)))))^3)/$B29</f>
        <v>1.3626151964263578E-2</v>
      </c>
      <c r="N29" s="286">
        <f>(($A29+0.5)*((1-(1/(9*($A29+0.5)))+(2.575/3)*SQRT((1/($A29+0.5)))))^3)/$B29</f>
        <v>2.8272043975065098E-2</v>
      </c>
    </row>
  </sheetData>
  <sheetProtection password="C774" sheet="1"/>
  <mergeCells count="7">
    <mergeCell ref="E6:F6"/>
    <mergeCell ref="I6:J6"/>
    <mergeCell ref="M6:N6"/>
    <mergeCell ref="A1:C1"/>
    <mergeCell ref="E23:F23"/>
    <mergeCell ref="I23:J23"/>
    <mergeCell ref="M23:N23"/>
  </mergeCells>
  <phoneticPr fontId="0" type="noConversion"/>
  <hyperlinks>
    <hyperlink ref="P1" location="'Main Menu'!A1" display="Main Menu"/>
  </hyperlinks>
  <pageMargins left="0.75" right="0.75" top="1" bottom="1" header="0.5" footer="0.5"/>
  <pageSetup orientation="portrait" horizontalDpi="300" verticalDpi="300"/>
  <headerFooter alignWithMargins="0"/>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workbookViewId="0">
      <selection activeCell="L31" sqref="L31"/>
    </sheetView>
  </sheetViews>
  <sheetFormatPr defaultColWidth="9.140625" defaultRowHeight="12.75" x14ac:dyDescent="0.2"/>
  <cols>
    <col min="1" max="1" width="13" style="75" customWidth="1"/>
    <col min="2" max="2" width="10.7109375" style="75" customWidth="1"/>
    <col min="3" max="3" width="12" style="75" customWidth="1"/>
    <col min="4" max="4" width="7.7109375" style="75" customWidth="1"/>
    <col min="5" max="5" width="6.28515625" style="75" customWidth="1"/>
    <col min="6" max="6" width="11.42578125" style="75" customWidth="1"/>
    <col min="7" max="7" width="11" style="75" customWidth="1"/>
    <col min="8" max="8" width="10.42578125" style="75" customWidth="1"/>
    <col min="9" max="9" width="6.7109375" style="75" customWidth="1"/>
    <col min="10" max="10" width="6.140625" style="75" customWidth="1"/>
    <col min="11" max="16384" width="9.140625" style="75"/>
  </cols>
  <sheetData>
    <row r="1" spans="1:15" ht="31.5" customHeight="1" x14ac:dyDescent="0.25">
      <c r="A1" s="72"/>
      <c r="B1" s="73"/>
      <c r="C1" s="73"/>
      <c r="D1" s="74"/>
      <c r="F1" s="146" t="s">
        <v>179</v>
      </c>
      <c r="G1" s="414" t="s">
        <v>262</v>
      </c>
      <c r="H1" s="398"/>
      <c r="I1" s="398"/>
      <c r="J1" s="415"/>
      <c r="K1" s="401" t="s">
        <v>29</v>
      </c>
      <c r="L1" s="402"/>
      <c r="M1" s="402"/>
      <c r="N1" s="402"/>
      <c r="O1" s="403"/>
    </row>
    <row r="2" spans="1:15" ht="15.75" x14ac:dyDescent="0.25">
      <c r="A2" s="76" t="s">
        <v>21</v>
      </c>
      <c r="B2" s="77" t="s">
        <v>5</v>
      </c>
      <c r="G2" s="78" t="s">
        <v>4</v>
      </c>
      <c r="K2" s="404"/>
      <c r="L2" s="405"/>
      <c r="M2" s="405"/>
      <c r="N2" s="405"/>
      <c r="O2" s="406"/>
    </row>
    <row r="3" spans="1:15" x14ac:dyDescent="0.2">
      <c r="B3" s="79" t="s">
        <v>3</v>
      </c>
      <c r="C3" s="79" t="s">
        <v>2</v>
      </c>
      <c r="D3" s="80"/>
      <c r="E3" s="80"/>
      <c r="F3" s="80"/>
      <c r="G3" s="79" t="s">
        <v>3</v>
      </c>
      <c r="H3" s="79" t="s">
        <v>2</v>
      </c>
      <c r="K3" s="404"/>
      <c r="L3" s="405"/>
      <c r="M3" s="405"/>
      <c r="N3" s="405"/>
      <c r="O3" s="406"/>
    </row>
    <row r="4" spans="1:15" x14ac:dyDescent="0.2">
      <c r="A4" s="80" t="s">
        <v>1</v>
      </c>
      <c r="B4" s="71">
        <v>7</v>
      </c>
      <c r="C4" s="71">
        <v>124</v>
      </c>
      <c r="D4" s="75">
        <f>B4+C4</f>
        <v>131</v>
      </c>
      <c r="F4" s="80" t="s">
        <v>1</v>
      </c>
      <c r="G4" s="81">
        <f>(B6/D6)*D4</f>
        <v>4.9904761904761905</v>
      </c>
      <c r="H4" s="81">
        <f>D4-G4</f>
        <v>126.00952380952381</v>
      </c>
      <c r="I4" s="75">
        <f>G4+H4</f>
        <v>131</v>
      </c>
      <c r="K4" s="404"/>
      <c r="L4" s="405"/>
      <c r="M4" s="405"/>
      <c r="N4" s="405"/>
      <c r="O4" s="406"/>
    </row>
    <row r="5" spans="1:15" x14ac:dyDescent="0.2">
      <c r="A5" s="80" t="s">
        <v>6</v>
      </c>
      <c r="B5" s="71">
        <v>1</v>
      </c>
      <c r="C5" s="71">
        <v>78</v>
      </c>
      <c r="D5" s="75">
        <f>B5+C5</f>
        <v>79</v>
      </c>
      <c r="F5" s="80" t="s">
        <v>6</v>
      </c>
      <c r="G5" s="81">
        <f>(B6/D6)*D5</f>
        <v>3.0095238095238099</v>
      </c>
      <c r="H5" s="81">
        <f>D5-G5</f>
        <v>75.990476190476187</v>
      </c>
      <c r="I5" s="75">
        <f>G5+H5</f>
        <v>79</v>
      </c>
      <c r="K5" s="404"/>
      <c r="L5" s="405"/>
      <c r="M5" s="405"/>
      <c r="N5" s="405"/>
      <c r="O5" s="406"/>
    </row>
    <row r="6" spans="1:15" x14ac:dyDescent="0.2">
      <c r="B6" s="75">
        <f>B4+B5</f>
        <v>8</v>
      </c>
      <c r="C6" s="75">
        <f>C4+C5</f>
        <v>202</v>
      </c>
      <c r="D6" s="75">
        <f>D4+D5</f>
        <v>210</v>
      </c>
      <c r="G6" s="75">
        <f>G4+G5</f>
        <v>8</v>
      </c>
      <c r="H6" s="75">
        <f>H4+H5</f>
        <v>202</v>
      </c>
      <c r="I6" s="75">
        <f>I4+I5</f>
        <v>210</v>
      </c>
      <c r="K6" s="404"/>
      <c r="L6" s="405"/>
      <c r="M6" s="405"/>
      <c r="N6" s="405"/>
      <c r="O6" s="406"/>
    </row>
    <row r="7" spans="1:15" x14ac:dyDescent="0.2">
      <c r="K7" s="404"/>
      <c r="L7" s="405"/>
      <c r="M7" s="405"/>
      <c r="N7" s="405"/>
      <c r="O7" s="406"/>
    </row>
    <row r="8" spans="1:15" x14ac:dyDescent="0.2">
      <c r="A8" s="82" t="s">
        <v>0</v>
      </c>
      <c r="B8" s="75">
        <f>CHITEST((B4:C5),(G4:H5))</f>
        <v>0.1348147055013727</v>
      </c>
      <c r="F8" s="83" t="s">
        <v>7</v>
      </c>
      <c r="G8" s="75">
        <f>8/210</f>
        <v>3.8095238095238099E-2</v>
      </c>
      <c r="K8" s="404"/>
      <c r="L8" s="405"/>
      <c r="M8" s="405"/>
      <c r="N8" s="405"/>
      <c r="O8" s="406"/>
    </row>
    <row r="9" spans="1:15" ht="69.75" customHeight="1" x14ac:dyDescent="0.2">
      <c r="A9" s="399" t="s">
        <v>30</v>
      </c>
      <c r="B9" s="400"/>
      <c r="C9" s="400"/>
      <c r="D9" s="400"/>
      <c r="E9" s="400"/>
      <c r="F9" s="400"/>
      <c r="G9" s="400"/>
      <c r="H9" s="400"/>
      <c r="I9" s="400"/>
      <c r="J9" s="400"/>
      <c r="K9" s="404"/>
      <c r="L9" s="405"/>
      <c r="M9" s="405"/>
      <c r="N9" s="405"/>
      <c r="O9" s="406"/>
    </row>
    <row r="10" spans="1:15" ht="15.75" x14ac:dyDescent="0.25">
      <c r="A10" s="84" t="s">
        <v>20</v>
      </c>
      <c r="K10" s="407"/>
      <c r="L10" s="408"/>
      <c r="M10" s="408"/>
      <c r="N10" s="408"/>
      <c r="O10" s="409"/>
    </row>
    <row r="11" spans="1:15" ht="15.75" x14ac:dyDescent="0.25">
      <c r="B11" s="77" t="s">
        <v>5</v>
      </c>
      <c r="G11" s="78" t="s">
        <v>4</v>
      </c>
    </row>
    <row r="12" spans="1:15" x14ac:dyDescent="0.2">
      <c r="B12" s="79" t="s">
        <v>3</v>
      </c>
      <c r="C12" s="79" t="s">
        <v>2</v>
      </c>
      <c r="D12" s="80"/>
      <c r="E12" s="80"/>
      <c r="F12" s="80"/>
      <c r="G12" s="79" t="s">
        <v>3</v>
      </c>
      <c r="H12" s="79" t="s">
        <v>2</v>
      </c>
    </row>
    <row r="13" spans="1:15" x14ac:dyDescent="0.2">
      <c r="A13" s="80" t="s">
        <v>1</v>
      </c>
      <c r="B13" s="15"/>
      <c r="C13" s="15"/>
      <c r="D13" s="75">
        <f>B13+C13</f>
        <v>0</v>
      </c>
      <c r="F13" s="80" t="s">
        <v>1</v>
      </c>
      <c r="G13" s="81" t="e">
        <f>(B15/D15)*D13</f>
        <v>#DIV/0!</v>
      </c>
      <c r="H13" s="81" t="e">
        <f>D13-G13</f>
        <v>#DIV/0!</v>
      </c>
      <c r="I13" s="75" t="e">
        <f>G13+H13</f>
        <v>#DIV/0!</v>
      </c>
    </row>
    <row r="14" spans="1:15" x14ac:dyDescent="0.2">
      <c r="A14" s="80" t="s">
        <v>6</v>
      </c>
      <c r="B14" s="15"/>
      <c r="C14" s="15"/>
      <c r="D14" s="75">
        <f>B14+C14</f>
        <v>0</v>
      </c>
      <c r="F14" s="80" t="s">
        <v>6</v>
      </c>
      <c r="G14" s="81" t="e">
        <f>(B15/D15)*D14</f>
        <v>#DIV/0!</v>
      </c>
      <c r="H14" s="81" t="e">
        <f>D14-G14</f>
        <v>#DIV/0!</v>
      </c>
      <c r="I14" s="75" t="e">
        <f>G14+H14</f>
        <v>#DIV/0!</v>
      </c>
    </row>
    <row r="15" spans="1:15" x14ac:dyDescent="0.2">
      <c r="B15" s="75">
        <f>B13+B14</f>
        <v>0</v>
      </c>
      <c r="C15" s="75">
        <f>C13+C14</f>
        <v>0</v>
      </c>
      <c r="D15" s="75">
        <f>D13+D14</f>
        <v>0</v>
      </c>
      <c r="G15" s="75" t="e">
        <f>G13+G14</f>
        <v>#DIV/0!</v>
      </c>
      <c r="H15" s="75" t="e">
        <f>H13+H14</f>
        <v>#DIV/0!</v>
      </c>
      <c r="I15" s="75" t="e">
        <f>I13+I14</f>
        <v>#DIV/0!</v>
      </c>
    </row>
    <row r="16" spans="1:15" ht="15.75" x14ac:dyDescent="0.25">
      <c r="A16" s="86" t="s">
        <v>28</v>
      </c>
      <c r="B16" s="87" t="e">
        <f>POWER(B13-G13,2)/G13+POWER(C13-H13,2)/H13+POWER(B14-G14,2)/G14+POWER(C14-H14,2)/H14</f>
        <v>#DIV/0!</v>
      </c>
    </row>
    <row r="17" spans="1:15" ht="15.75" x14ac:dyDescent="0.25">
      <c r="A17" s="88" t="s">
        <v>0</v>
      </c>
      <c r="B17" s="89" t="e">
        <f>CHIDIST(B16,1)</f>
        <v>#DIV/0!</v>
      </c>
      <c r="D17" s="411" t="e">
        <f>IF(G13&lt;5,"Chi square inappropriate; an expected cell is &lt;5.",IF(H13&lt;5,"Chi square inappropriate; an expected cell is &lt;5.",IF(G14&lt;5,"Chi square inappropriate; an expected cell is &lt;5.",IF(H14&lt;5,"Chi square inappropriate; an expected cell is &lt;5.",""))))</f>
        <v>#DIV/0!</v>
      </c>
      <c r="E17" s="412"/>
      <c r="F17" s="412"/>
      <c r="G17" s="412"/>
      <c r="H17" s="412"/>
      <c r="I17" s="413"/>
    </row>
    <row r="18" spans="1:15" ht="8.25" customHeight="1" x14ac:dyDescent="0.2">
      <c r="A18" s="410"/>
      <c r="B18" s="410"/>
      <c r="C18" s="410"/>
      <c r="D18" s="410"/>
      <c r="E18" s="410"/>
      <c r="F18" s="410"/>
      <c r="G18" s="410"/>
      <c r="H18" s="410"/>
      <c r="I18" s="410"/>
      <c r="J18" s="410"/>
      <c r="K18" s="410"/>
      <c r="L18" s="410"/>
      <c r="M18" s="410"/>
      <c r="N18" s="410"/>
      <c r="O18" s="410"/>
    </row>
    <row r="19" spans="1:15" x14ac:dyDescent="0.2">
      <c r="A19" s="75" t="s">
        <v>38</v>
      </c>
    </row>
    <row r="20" spans="1:15" x14ac:dyDescent="0.2">
      <c r="A20" s="75" t="s">
        <v>31</v>
      </c>
    </row>
    <row r="21" spans="1:15" ht="15.75" x14ac:dyDescent="0.25">
      <c r="B21" s="82" t="s">
        <v>39</v>
      </c>
      <c r="C21" s="90" t="s">
        <v>40</v>
      </c>
      <c r="D21" s="75" t="s">
        <v>42</v>
      </c>
    </row>
    <row r="22" spans="1:15" x14ac:dyDescent="0.2">
      <c r="B22" s="75" t="s">
        <v>41</v>
      </c>
    </row>
    <row r="23" spans="1:15" ht="15.75" x14ac:dyDescent="0.25">
      <c r="B23" s="77" t="s">
        <v>5</v>
      </c>
      <c r="G23" s="78" t="s">
        <v>4</v>
      </c>
    </row>
    <row r="24" spans="1:15" x14ac:dyDescent="0.2">
      <c r="B24" s="80" t="s">
        <v>32</v>
      </c>
      <c r="C24" s="80" t="s">
        <v>33</v>
      </c>
      <c r="G24" s="80" t="s">
        <v>32</v>
      </c>
      <c r="H24" s="80" t="s">
        <v>33</v>
      </c>
    </row>
    <row r="25" spans="1:15" x14ac:dyDescent="0.2">
      <c r="A25" s="80" t="s">
        <v>34</v>
      </c>
      <c r="B25" s="85">
        <v>2</v>
      </c>
      <c r="C25" s="85">
        <v>5</v>
      </c>
      <c r="D25" s="75">
        <f>SUM(B25:C25)</f>
        <v>7</v>
      </c>
      <c r="G25" s="81">
        <f>($B$29/$D$29)*D25</f>
        <v>3.2905982905982905</v>
      </c>
      <c r="H25" s="81">
        <f>D25-G25</f>
        <v>3.7094017094017095</v>
      </c>
      <c r="I25" s="75">
        <f>SUM(G25:H25)</f>
        <v>7</v>
      </c>
    </row>
    <row r="26" spans="1:15" x14ac:dyDescent="0.2">
      <c r="A26" s="80" t="s">
        <v>35</v>
      </c>
      <c r="B26" s="85">
        <v>8</v>
      </c>
      <c r="C26" s="85">
        <v>30</v>
      </c>
      <c r="D26" s="75">
        <f>SUM(B26:C26)</f>
        <v>38</v>
      </c>
      <c r="G26" s="81">
        <f>($B$29/$D$29)*D26</f>
        <v>17.863247863247864</v>
      </c>
      <c r="H26" s="81">
        <f>D26-G26</f>
        <v>20.136752136752136</v>
      </c>
      <c r="I26" s="75">
        <f>SUM(G26:H26)</f>
        <v>38</v>
      </c>
    </row>
    <row r="27" spans="1:15" x14ac:dyDescent="0.2">
      <c r="A27" s="80" t="s">
        <v>36</v>
      </c>
      <c r="B27" s="85">
        <v>20</v>
      </c>
      <c r="C27" s="85">
        <v>15</v>
      </c>
      <c r="D27" s="75">
        <f>SUM(B27:C27)</f>
        <v>35</v>
      </c>
      <c r="G27" s="81">
        <f>($B$29/$D$29)*D27</f>
        <v>16.452991452991451</v>
      </c>
      <c r="H27" s="81">
        <f>D27-G27</f>
        <v>18.547008547008549</v>
      </c>
      <c r="I27" s="75">
        <f>SUM(G27:H27)</f>
        <v>35</v>
      </c>
    </row>
    <row r="28" spans="1:15" x14ac:dyDescent="0.2">
      <c r="A28" s="80" t="s">
        <v>37</v>
      </c>
      <c r="B28" s="85">
        <v>25</v>
      </c>
      <c r="C28" s="85">
        <v>12</v>
      </c>
      <c r="D28" s="75">
        <f>SUM(B28:C28)</f>
        <v>37</v>
      </c>
      <c r="G28" s="81">
        <f>($B$29/$D$29)*D28</f>
        <v>17.393162393162392</v>
      </c>
      <c r="H28" s="81">
        <f>D28-G28</f>
        <v>19.606837606837608</v>
      </c>
      <c r="I28" s="75">
        <f>SUM(G28:H28)</f>
        <v>37</v>
      </c>
    </row>
    <row r="29" spans="1:15" x14ac:dyDescent="0.2">
      <c r="B29" s="75">
        <f>SUM(B25:B28)</f>
        <v>55</v>
      </c>
      <c r="C29" s="75">
        <f>SUM(C25:C28)</f>
        <v>62</v>
      </c>
      <c r="D29" s="75">
        <f>SUM(B29:C29)</f>
        <v>117</v>
      </c>
      <c r="G29" s="75">
        <f>SUM(G25:G28)</f>
        <v>54.999999999999993</v>
      </c>
      <c r="H29" s="75">
        <f>SUM(H25:H28)</f>
        <v>62.000000000000007</v>
      </c>
      <c r="I29" s="75">
        <f>SUM(G29:H29)</f>
        <v>117</v>
      </c>
    </row>
    <row r="31" spans="1:15" ht="15.75" x14ac:dyDescent="0.25">
      <c r="A31" s="88" t="s">
        <v>0</v>
      </c>
      <c r="B31" s="91">
        <f>CHITEST(B25:C28,G25:H28)</f>
        <v>2.795252330868277E-4</v>
      </c>
    </row>
  </sheetData>
  <sheetProtection password="C774" sheet="1" objects="1" scenarios="1"/>
  <mergeCells count="5">
    <mergeCell ref="A9:J9"/>
    <mergeCell ref="K1:O10"/>
    <mergeCell ref="A18:O18"/>
    <mergeCell ref="D17:I17"/>
    <mergeCell ref="G1:J1"/>
  </mergeCells>
  <phoneticPr fontId="0" type="noConversion"/>
  <hyperlinks>
    <hyperlink ref="F1" location="'Main Menu'!A1" display="Main Menu"/>
  </hyperlinks>
  <pageMargins left="0.75" right="0.75" top="1" bottom="1" header="0.5" footer="0.5"/>
  <pageSetup orientation="portrait" horizontalDpi="300" verticalDpi="300"/>
  <headerFooter alignWithMargins="0"/>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48"/>
  <sheetViews>
    <sheetView tabSelected="1" zoomScale="80" zoomScaleNormal="80" workbookViewId="0">
      <selection activeCell="D7" sqref="D7"/>
    </sheetView>
  </sheetViews>
  <sheetFormatPr defaultColWidth="8.7109375" defaultRowHeight="12.75" x14ac:dyDescent="0.2"/>
  <cols>
    <col min="1" max="1" width="13.28515625" customWidth="1"/>
    <col min="2" max="2" width="13.7109375" customWidth="1"/>
    <col min="3" max="4" width="12.28515625" bestFit="1" customWidth="1"/>
    <col min="5" max="5" width="14.28515625" customWidth="1"/>
    <col min="6" max="6" width="13.42578125" customWidth="1"/>
    <col min="7" max="7" width="14.42578125" customWidth="1"/>
    <col min="8" max="8" width="10" customWidth="1"/>
    <col min="10" max="10" width="5" customWidth="1"/>
    <col min="11" max="11" width="17.140625" customWidth="1"/>
    <col min="12" max="12" width="11.28515625" customWidth="1"/>
    <col min="13" max="13" width="10.140625" customWidth="1"/>
  </cols>
  <sheetData>
    <row r="1" spans="1:19" ht="33" customHeight="1" x14ac:dyDescent="0.25">
      <c r="A1" s="422" t="s">
        <v>43</v>
      </c>
      <c r="B1" s="423"/>
      <c r="C1" s="423"/>
      <c r="D1" s="424"/>
      <c r="G1" s="143" t="s">
        <v>179</v>
      </c>
      <c r="K1" s="92"/>
      <c r="L1" s="416" t="s">
        <v>260</v>
      </c>
      <c r="M1" s="416"/>
      <c r="N1" s="416"/>
    </row>
    <row r="2" spans="1:19" x14ac:dyDescent="0.2">
      <c r="K2" s="92"/>
      <c r="S2">
        <v>0.99</v>
      </c>
    </row>
    <row r="3" spans="1:19" ht="15.75" x14ac:dyDescent="0.25">
      <c r="B3" s="17" t="s">
        <v>20</v>
      </c>
      <c r="K3" s="92"/>
      <c r="S3">
        <v>0.95</v>
      </c>
    </row>
    <row r="4" spans="1:19" x14ac:dyDescent="0.2">
      <c r="K4" s="92"/>
      <c r="S4">
        <v>0.9</v>
      </c>
    </row>
    <row r="5" spans="1:19" ht="15.75" x14ac:dyDescent="0.25">
      <c r="C5" s="18" t="s">
        <v>5</v>
      </c>
      <c r="H5" s="3" t="s">
        <v>4</v>
      </c>
      <c r="K5" s="92"/>
      <c r="L5" s="1"/>
    </row>
    <row r="6" spans="1:19" x14ac:dyDescent="0.2">
      <c r="C6" s="22" t="s">
        <v>25</v>
      </c>
      <c r="D6" s="22" t="s">
        <v>26</v>
      </c>
      <c r="H6" s="22" t="s">
        <v>25</v>
      </c>
      <c r="I6" s="22" t="s">
        <v>26</v>
      </c>
      <c r="K6" s="92"/>
    </row>
    <row r="7" spans="1:19" x14ac:dyDescent="0.2">
      <c r="B7" s="22" t="s">
        <v>1</v>
      </c>
      <c r="C7" s="15">
        <v>325</v>
      </c>
      <c r="D7" s="15">
        <v>300</v>
      </c>
      <c r="E7">
        <f>C7+D7</f>
        <v>625</v>
      </c>
      <c r="G7" s="22" t="s">
        <v>1</v>
      </c>
      <c r="H7" s="24">
        <f>(C9/E9)*E7</f>
        <v>233.20895522388062</v>
      </c>
      <c r="I7" s="24">
        <f>E7-H7</f>
        <v>391.79104477611941</v>
      </c>
      <c r="J7">
        <f>H7+I7</f>
        <v>625</v>
      </c>
      <c r="K7" s="92"/>
    </row>
    <row r="8" spans="1:19" x14ac:dyDescent="0.2">
      <c r="B8" s="22" t="s">
        <v>6</v>
      </c>
      <c r="C8" s="15">
        <v>300</v>
      </c>
      <c r="D8" s="15">
        <v>750</v>
      </c>
      <c r="E8">
        <f>C8+D8</f>
        <v>1050</v>
      </c>
      <c r="G8" s="22" t="s">
        <v>6</v>
      </c>
      <c r="H8" s="24">
        <f>(C9/E9)*E8</f>
        <v>391.79104477611941</v>
      </c>
      <c r="I8" s="24">
        <f>E8-H8</f>
        <v>658.20895522388059</v>
      </c>
      <c r="J8">
        <f>H8+I8</f>
        <v>1050</v>
      </c>
      <c r="K8" s="92"/>
    </row>
    <row r="9" spans="1:19" x14ac:dyDescent="0.2">
      <c r="C9">
        <f>C7+C8</f>
        <v>625</v>
      </c>
      <c r="D9">
        <f>D7+D8</f>
        <v>1050</v>
      </c>
      <c r="E9">
        <f>E7+E8</f>
        <v>1675</v>
      </c>
      <c r="H9">
        <f>H7+H8</f>
        <v>625</v>
      </c>
      <c r="I9">
        <f>I7+I8</f>
        <v>1050</v>
      </c>
      <c r="J9">
        <f>J7+J8</f>
        <v>1675</v>
      </c>
      <c r="K9" s="92"/>
    </row>
    <row r="10" spans="1:19" x14ac:dyDescent="0.2">
      <c r="K10" s="92"/>
    </row>
    <row r="11" spans="1:19" x14ac:dyDescent="0.2">
      <c r="E11" s="297">
        <v>0.95</v>
      </c>
      <c r="F11" s="290" t="s">
        <v>316</v>
      </c>
    </row>
    <row r="12" spans="1:19" ht="15.75" x14ac:dyDescent="0.25">
      <c r="E12" s="292" t="s">
        <v>312</v>
      </c>
      <c r="F12" s="266"/>
    </row>
    <row r="13" spans="1:19" ht="15.75" x14ac:dyDescent="0.25">
      <c r="E13" s="294" t="s">
        <v>313</v>
      </c>
      <c r="F13" s="294" t="s">
        <v>314</v>
      </c>
    </row>
    <row r="14" spans="1:19" ht="15.75" x14ac:dyDescent="0.25">
      <c r="B14" s="16" t="s">
        <v>27</v>
      </c>
      <c r="C14" s="21">
        <f>($C$7*$D$8)/($D$7*$C$8)</f>
        <v>2.7083333333333335</v>
      </c>
      <c r="E14" s="291">
        <f>EXP(LOG($C$14,2.7182818)-IF($E$11=0.9,1.645,IF($E$11=0.95,1.96,IF($E$11=0.99,2.5758,0)))*SQRT(1/$C$7+1/$D$7+1/$C$8+1/$D$8))</f>
        <v>2.2035052851845665</v>
      </c>
      <c r="F14" s="291">
        <f>EXP(LOG($C$14,2.7182818)+IF($E$11=0.9,1.645,IF($E$11=0.95,1.96,IF($E$11=0.99,2.5758,0)))*SQRT(1/$C$7+1/$D$7+1/$C$8+1/$D$8))</f>
        <v>3.3288186993642275</v>
      </c>
      <c r="H14" s="21"/>
    </row>
    <row r="15" spans="1:19" ht="15.75" x14ac:dyDescent="0.25">
      <c r="B15" s="16" t="s">
        <v>28</v>
      </c>
      <c r="C15" s="23">
        <f>POWER($C$7-$H$7,2)/$H$7+POWER($D$7-$I$7,2)/$I$7+POWER($C$8-$H$8,2)/$H$8+POWER($D$8-$I$8,2)/$I$8</f>
        <v>91.940408163265289</v>
      </c>
      <c r="G15" s="16"/>
    </row>
    <row r="16" spans="1:19" ht="15.75" x14ac:dyDescent="0.25">
      <c r="B16" s="16" t="s">
        <v>0</v>
      </c>
      <c r="C16" s="94">
        <f>CHITEST((C7:D8),(H7:I8))</f>
        <v>8.9326284657858305E-22</v>
      </c>
      <c r="E16" s="421" t="str">
        <f>IF(H7&lt;5,"Chi Square not appropriate - a cell in 'expected table is &lt;5; use Fisher's Exact Test http://www.langsrud.com/fisher.htm",IF(H8&lt;5,"Chi Square not appropriate - a cell in 'expected table is &lt;5; use Fisher's Exact Test http://www.langsrud.com/fisher.htm",IF(I7&lt;5,"Chi Square not appropriate - a cell in 'expected table is &lt;5; use Fisher's Exact Test http://www.langsrud.com/fisher.htm",IF(I8&lt;5,"Chi Square not appropriate - a cell in 'expected table is &lt;5; use Fisher's Exact Test http://www.langsrud.com/fisher.htm",""))))</f>
        <v/>
      </c>
      <c r="F16" s="421"/>
      <c r="G16" s="421"/>
      <c r="H16" s="421"/>
      <c r="I16" s="421"/>
      <c r="J16" s="421"/>
    </row>
    <row r="17" spans="1:25" x14ac:dyDescent="0.2">
      <c r="C17" s="21"/>
      <c r="E17" s="421"/>
      <c r="F17" s="421"/>
      <c r="G17" s="421"/>
      <c r="H17" s="421"/>
      <c r="I17" s="421"/>
      <c r="J17" s="421"/>
    </row>
    <row r="18" spans="1:25" ht="15.75" x14ac:dyDescent="0.25">
      <c r="B18" s="16"/>
      <c r="C18" s="65"/>
      <c r="E18" s="143" t="s">
        <v>320</v>
      </c>
      <c r="G18" s="223"/>
    </row>
    <row r="19" spans="1:25" ht="15.75" x14ac:dyDescent="0.25">
      <c r="B19" s="16"/>
      <c r="C19" s="65"/>
      <c r="G19" s="223"/>
    </row>
    <row r="20" spans="1:25" s="319" customFormat="1" ht="15.75" x14ac:dyDescent="0.25">
      <c r="B20" s="317"/>
      <c r="C20" s="318"/>
      <c r="G20" s="320"/>
    </row>
    <row r="21" spans="1:25" s="75" customFormat="1" ht="18" x14ac:dyDescent="0.25">
      <c r="A21"/>
      <c r="B21" s="2"/>
      <c r="C21" s="210" t="s">
        <v>356</v>
      </c>
      <c r="D21"/>
      <c r="E21"/>
      <c r="F21"/>
      <c r="G21"/>
      <c r="H21"/>
      <c r="I21"/>
      <c r="J21"/>
      <c r="K21"/>
      <c r="L21"/>
      <c r="M21"/>
      <c r="N21"/>
      <c r="O21"/>
      <c r="P21"/>
      <c r="Q21"/>
      <c r="R21"/>
      <c r="S21"/>
      <c r="T21"/>
      <c r="U21"/>
      <c r="V21"/>
      <c r="W21"/>
      <c r="X21"/>
      <c r="Y21"/>
    </row>
    <row r="22" spans="1:25" s="75" customFormat="1" x14ac:dyDescent="0.2">
      <c r="A22" s="193" t="s">
        <v>362</v>
      </c>
      <c r="B22"/>
      <c r="C22"/>
      <c r="D22"/>
      <c r="E22"/>
      <c r="F22"/>
      <c r="G22" s="143"/>
      <c r="H22"/>
      <c r="J22"/>
      <c r="K22"/>
      <c r="L22"/>
      <c r="M22"/>
      <c r="N22"/>
      <c r="O22"/>
      <c r="P22"/>
      <c r="Q22"/>
      <c r="R22"/>
      <c r="S22"/>
      <c r="T22"/>
      <c r="U22"/>
      <c r="V22"/>
      <c r="W22"/>
      <c r="X22"/>
      <c r="Y22"/>
    </row>
    <row r="23" spans="1:25" s="164" customFormat="1" ht="15.75" x14ac:dyDescent="0.25">
      <c r="A23" s="332" t="s">
        <v>361</v>
      </c>
      <c r="B23" s="333"/>
      <c r="C23" s="65"/>
      <c r="G23" s="143" t="s">
        <v>363</v>
      </c>
    </row>
    <row r="24" spans="1:25" ht="15.75" x14ac:dyDescent="0.25">
      <c r="A24" s="427" t="s">
        <v>319</v>
      </c>
      <c r="B24" s="412"/>
      <c r="C24" s="413"/>
      <c r="D24" s="425" t="s">
        <v>350</v>
      </c>
      <c r="E24" s="426"/>
    </row>
    <row r="25" spans="1:25" x14ac:dyDescent="0.2">
      <c r="B25" s="93"/>
      <c r="D25" s="22" t="s">
        <v>25</v>
      </c>
      <c r="E25" s="22" t="s">
        <v>26</v>
      </c>
      <c r="I25" s="305"/>
      <c r="J25" s="306"/>
      <c r="K25" s="227"/>
    </row>
    <row r="26" spans="1:25" x14ac:dyDescent="0.2">
      <c r="B26" s="93"/>
      <c r="D26" s="325">
        <f>C33+G33</f>
        <v>688</v>
      </c>
      <c r="E26" s="325">
        <f>D33+H33</f>
        <v>650</v>
      </c>
      <c r="F26">
        <f>D26+E26</f>
        <v>1338</v>
      </c>
      <c r="H26" s="123" t="s">
        <v>354</v>
      </c>
      <c r="I26" s="330">
        <f>(D26/D27)/(E26/E27)</f>
        <v>2.9737728937728933</v>
      </c>
      <c r="J26" s="301"/>
      <c r="K26" s="153"/>
      <c r="L26" s="138"/>
    </row>
    <row r="27" spans="1:25" x14ac:dyDescent="0.2">
      <c r="B27" s="93"/>
      <c r="D27" s="325">
        <f>C34+G34</f>
        <v>21</v>
      </c>
      <c r="E27" s="325">
        <f>D34+H34</f>
        <v>59</v>
      </c>
      <c r="F27">
        <f>D27+E27</f>
        <v>80</v>
      </c>
      <c r="J27" s="1"/>
    </row>
    <row r="28" spans="1:25" x14ac:dyDescent="0.2">
      <c r="D28">
        <f>D26+D27</f>
        <v>709</v>
      </c>
      <c r="E28">
        <f>E26+E27</f>
        <v>709</v>
      </c>
      <c r="F28">
        <f>F26+F27</f>
        <v>1418</v>
      </c>
      <c r="G28" s="304"/>
      <c r="H28" s="301"/>
      <c r="I28" s="301"/>
      <c r="J28" s="301"/>
      <c r="K28" s="42"/>
    </row>
    <row r="29" spans="1:25" x14ac:dyDescent="0.2">
      <c r="G29" s="321"/>
      <c r="H29" s="322"/>
      <c r="I29" s="322"/>
      <c r="J29" s="322"/>
      <c r="K29" s="324"/>
    </row>
    <row r="30" spans="1:25" x14ac:dyDescent="0.2">
      <c r="G30" s="327"/>
      <c r="H30" s="327"/>
      <c r="I30" s="327"/>
    </row>
    <row r="31" spans="1:25" ht="15.75" x14ac:dyDescent="0.25">
      <c r="C31" s="18" t="s">
        <v>265</v>
      </c>
      <c r="G31" s="18" t="s">
        <v>266</v>
      </c>
      <c r="J31" s="209"/>
      <c r="K31" s="18"/>
      <c r="L31" s="304"/>
      <c r="M31" s="301"/>
      <c r="O31" s="18"/>
      <c r="S31" s="18"/>
      <c r="W31" s="18"/>
    </row>
    <row r="32" spans="1:25" x14ac:dyDescent="0.2">
      <c r="C32" s="22" t="s">
        <v>25</v>
      </c>
      <c r="D32" s="22" t="s">
        <v>26</v>
      </c>
      <c r="G32" s="22" t="s">
        <v>25</v>
      </c>
      <c r="H32" s="22" t="s">
        <v>26</v>
      </c>
      <c r="J32" s="209"/>
      <c r="K32" s="326" t="s">
        <v>352</v>
      </c>
      <c r="L32" s="329">
        <f>CHIDIST(L51,1)</f>
        <v>2.6368588850077271E-2</v>
      </c>
      <c r="M32" s="138" t="s">
        <v>101</v>
      </c>
      <c r="O32" s="22"/>
      <c r="P32" s="22"/>
      <c r="S32" s="22"/>
      <c r="T32" s="22"/>
      <c r="W32" s="22"/>
      <c r="X32" s="22"/>
    </row>
    <row r="33" spans="1:24" x14ac:dyDescent="0.2">
      <c r="B33" s="22" t="s">
        <v>1</v>
      </c>
      <c r="C33" s="15">
        <v>647</v>
      </c>
      <c r="D33" s="15">
        <v>622</v>
      </c>
      <c r="E33">
        <f>C33+D33</f>
        <v>1269</v>
      </c>
      <c r="G33" s="15">
        <v>41</v>
      </c>
      <c r="H33" s="15">
        <v>28</v>
      </c>
      <c r="I33">
        <f>G33+H33</f>
        <v>69</v>
      </c>
      <c r="J33" s="209"/>
    </row>
    <row r="34" spans="1:24" x14ac:dyDescent="0.2">
      <c r="B34" s="22" t="s">
        <v>6</v>
      </c>
      <c r="C34" s="15">
        <v>2</v>
      </c>
      <c r="D34" s="15">
        <v>27</v>
      </c>
      <c r="E34">
        <f>C34+D34</f>
        <v>29</v>
      </c>
      <c r="G34" s="15">
        <v>19</v>
      </c>
      <c r="H34" s="15">
        <v>32</v>
      </c>
      <c r="I34">
        <f>G34+H34</f>
        <v>51</v>
      </c>
      <c r="J34" s="209"/>
    </row>
    <row r="35" spans="1:24" x14ac:dyDescent="0.2">
      <c r="C35">
        <f>C33+C34</f>
        <v>649</v>
      </c>
      <c r="D35">
        <f>D33+D34</f>
        <v>649</v>
      </c>
      <c r="E35">
        <f>E33+E34</f>
        <v>1298</v>
      </c>
      <c r="G35">
        <f>G33+G34</f>
        <v>60</v>
      </c>
      <c r="H35">
        <f>H33+H34</f>
        <v>60</v>
      </c>
      <c r="I35">
        <f>I33+I34</f>
        <v>120</v>
      </c>
      <c r="J35" s="209"/>
    </row>
    <row r="37" spans="1:24" ht="15.75" x14ac:dyDescent="0.25">
      <c r="C37" s="16" t="s">
        <v>27</v>
      </c>
      <c r="D37" s="21">
        <f>(C33*D34)/(D33*C34)</f>
        <v>14.042604501607718</v>
      </c>
      <c r="G37" s="16" t="s">
        <v>27</v>
      </c>
      <c r="H37" s="21">
        <f>(G33*H34)/(H33*G34)</f>
        <v>2.4661654135338344</v>
      </c>
      <c r="K37" s="219" t="s">
        <v>338</v>
      </c>
      <c r="L37" s="291">
        <f>(D46+H46)/(D47+H47)</f>
        <v>4.5239147622812617</v>
      </c>
      <c r="M37" s="138" t="s">
        <v>101</v>
      </c>
    </row>
    <row r="38" spans="1:24" ht="15.75" x14ac:dyDescent="0.25">
      <c r="C38" s="16" t="s">
        <v>28</v>
      </c>
      <c r="D38" s="23">
        <f>(POWER((C33-C54),2)/C54+POWER((D33-D54),2)/D54+POWER((C34-C55),2)/C55+POWER((D34-D55),2)/D55)</f>
        <v>22.044237928317166</v>
      </c>
      <c r="G38" s="16" t="s">
        <v>28</v>
      </c>
      <c r="H38" s="23">
        <f>POWER(G33-G54,2)/G54+POWER(H33-H54,2)/H54+POWER(G34-G55,2)/G55+POWER(H34-H55,2)/H55</f>
        <v>5.7630008525149199</v>
      </c>
      <c r="K38" s="323" t="s">
        <v>351</v>
      </c>
      <c r="L38" s="328">
        <f>CHIDIST(L62,1)</f>
        <v>5.9758480115394647E-7</v>
      </c>
      <c r="M38" s="138" t="s">
        <v>101</v>
      </c>
    </row>
    <row r="39" spans="1:24" ht="15.75" x14ac:dyDescent="0.25">
      <c r="C39" s="16" t="s">
        <v>0</v>
      </c>
      <c r="D39" s="94">
        <f>CHITEST((C33:D34),(C54:D55))</f>
        <v>2.6643830561044601E-6</v>
      </c>
      <c r="G39" s="16" t="s">
        <v>0</v>
      </c>
      <c r="H39" s="94">
        <f>CHITEST((G33:H34),(G54:H55))</f>
        <v>1.6367095370184725E-2</v>
      </c>
      <c r="L39" s="291">
        <f>(D46+H46)/(D47+H47)</f>
        <v>4.5239147622812617</v>
      </c>
      <c r="M39" s="138" t="s">
        <v>101</v>
      </c>
    </row>
    <row r="40" spans="1:24" ht="15.75" x14ac:dyDescent="0.25">
      <c r="C40" s="208" t="s">
        <v>264</v>
      </c>
      <c r="D40" s="21">
        <v>0.95</v>
      </c>
      <c r="G40" s="208" t="s">
        <v>264</v>
      </c>
      <c r="H40" s="21">
        <v>0.95</v>
      </c>
      <c r="K40" s="303" t="s">
        <v>340</v>
      </c>
      <c r="L40" s="291">
        <f>EXP(LOG(L39,2.7182818)-1.96*L50)</f>
        <v>2.4170727475835565</v>
      </c>
      <c r="M40" s="138" t="s">
        <v>101</v>
      </c>
    </row>
    <row r="41" spans="1:24" ht="15.75" x14ac:dyDescent="0.25">
      <c r="C41" s="16" t="s">
        <v>137</v>
      </c>
      <c r="D41" s="65">
        <f>D37*EXP(- NORMSINV( (1-D40)/2 ) *D44)</f>
        <v>59.300824797064159</v>
      </c>
      <c r="G41" s="16" t="s">
        <v>137</v>
      </c>
      <c r="H41" s="65">
        <f>H37*EXP(- NORMSINV( (1-H40)/2 ) *H44)</f>
        <v>5.1881783523047398</v>
      </c>
      <c r="K41" s="219" t="s">
        <v>339</v>
      </c>
      <c r="L41" s="291">
        <f>EXP(LOG(L39,2.7182818)+1.96*L50)</f>
        <v>8.4671863698209204</v>
      </c>
      <c r="M41" s="138" t="s">
        <v>101</v>
      </c>
      <c r="O41" s="16"/>
      <c r="P41" s="65"/>
      <c r="S41" s="16"/>
      <c r="T41" s="65"/>
      <c r="W41" s="16"/>
      <c r="X41" s="65"/>
    </row>
    <row r="42" spans="1:24" ht="15.75" x14ac:dyDescent="0.25">
      <c r="C42" s="16" t="s">
        <v>138</v>
      </c>
      <c r="D42" s="65">
        <f>D37*EXP( NORMSINV( (1-D40)/2 ) *D44)</f>
        <v>3.3253288105755989</v>
      </c>
      <c r="G42" s="16" t="s">
        <v>138</v>
      </c>
      <c r="H42" s="65">
        <f>H37*EXP( NORMSINV( (1-H40)/2 ) *H44)</f>
        <v>1.1722750132922319</v>
      </c>
      <c r="K42" s="16"/>
      <c r="L42" s="311"/>
      <c r="O42" s="16"/>
      <c r="P42" s="65"/>
      <c r="S42" s="16"/>
      <c r="T42" s="65"/>
      <c r="W42" s="16"/>
      <c r="X42" s="65"/>
    </row>
    <row r="43" spans="1:24" s="216" customFormat="1" ht="15" x14ac:dyDescent="0.2">
      <c r="A43"/>
      <c r="C43" s="224" t="s">
        <v>279</v>
      </c>
      <c r="D43" s="308">
        <f>LN(D37)</f>
        <v>2.6420958872061049</v>
      </c>
      <c r="E43" s="307">
        <f>LN((C33*D34)/(D33*C34))</f>
        <v>2.6420958872061049</v>
      </c>
      <c r="G43" s="224" t="s">
        <v>279</v>
      </c>
      <c r="H43" s="309">
        <f>LN(H37)</f>
        <v>0.90266448016238987</v>
      </c>
      <c r="K43" s="226" t="s">
        <v>341</v>
      </c>
      <c r="L43" s="225">
        <f>LN(L39)</f>
        <v>1.5093777168476539</v>
      </c>
      <c r="M43" s="216" t="s">
        <v>101</v>
      </c>
      <c r="O43" s="226"/>
      <c r="P43" s="225"/>
      <c r="S43" s="226"/>
      <c r="T43" s="225"/>
      <c r="W43" s="226"/>
      <c r="X43" s="225"/>
    </row>
    <row r="44" spans="1:24" ht="15.75" x14ac:dyDescent="0.25">
      <c r="C44" s="93" t="s">
        <v>139</v>
      </c>
      <c r="D44">
        <f>SQRT( 1/C33+1/D33+1/C34+1/D34 )</f>
        <v>0.73497642760358883</v>
      </c>
      <c r="G44" s="93" t="s">
        <v>139</v>
      </c>
      <c r="H44">
        <f>SQRT( 1/G33+1/H33+1/G34+1/H34 )</f>
        <v>0.37945501520482394</v>
      </c>
      <c r="K44" s="219"/>
      <c r="L44" s="291"/>
      <c r="O44" s="18"/>
      <c r="S44" s="18"/>
      <c r="W44" s="18"/>
    </row>
    <row r="45" spans="1:24" s="216" customFormat="1" x14ac:dyDescent="0.2">
      <c r="B45" s="216" t="s">
        <v>281</v>
      </c>
      <c r="C45" s="216" t="s">
        <v>280</v>
      </c>
      <c r="D45" s="216">
        <f>1/(1/C33+1/D34+1/D33+1/C34)</f>
        <v>1.8511993070685415</v>
      </c>
      <c r="G45" s="216" t="s">
        <v>280</v>
      </c>
      <c r="H45" s="216">
        <f>1/(1/G33+1/H34+1/H33+1/G34)</f>
        <v>6.9451144278606964</v>
      </c>
      <c r="K45" s="22"/>
      <c r="L45" s="22"/>
      <c r="M45"/>
      <c r="N45"/>
      <c r="O45" s="22"/>
      <c r="P45" s="22"/>
      <c r="Q45"/>
      <c r="R45"/>
      <c r="S45" s="22"/>
      <c r="T45" s="22"/>
      <c r="U45"/>
      <c r="V45"/>
      <c r="W45" s="22"/>
      <c r="X45" s="22"/>
    </row>
    <row r="46" spans="1:24" x14ac:dyDescent="0.2">
      <c r="C46" s="216" t="s">
        <v>267</v>
      </c>
      <c r="D46">
        <f>(C33*D34)/E35</f>
        <v>13.458397534668721</v>
      </c>
      <c r="E46" t="s">
        <v>329</v>
      </c>
      <c r="G46" s="216" t="s">
        <v>267</v>
      </c>
      <c r="H46">
        <f>(G33*H34)/I35</f>
        <v>10.933333333333334</v>
      </c>
      <c r="I46" t="s">
        <v>330</v>
      </c>
      <c r="L46">
        <f>(D46*D48+H46*H48)/(2*(D46+H46)^2)</f>
        <v>1.1462622233946366E-2</v>
      </c>
      <c r="M46" s="216" t="s">
        <v>101</v>
      </c>
    </row>
    <row r="47" spans="1:24" x14ac:dyDescent="0.2">
      <c r="A47" s="216"/>
      <c r="C47" s="93" t="s">
        <v>268</v>
      </c>
      <c r="D47">
        <f>(D33*C34)/E35</f>
        <v>0.95839753466872113</v>
      </c>
      <c r="E47" t="s">
        <v>331</v>
      </c>
      <c r="G47" s="93" t="s">
        <v>268</v>
      </c>
      <c r="H47">
        <f>(H33*G34)/I35</f>
        <v>4.4333333333333336</v>
      </c>
      <c r="I47" t="s">
        <v>334</v>
      </c>
      <c r="K47" s="300" t="s">
        <v>145</v>
      </c>
      <c r="L47">
        <f>((D46*D49+D47*D48)+(H46*H49+H47*H48))/(2*(D46+H46)*(D47+H47))</f>
        <v>5.3024189427278372E-2</v>
      </c>
      <c r="M47" s="216" t="s">
        <v>101</v>
      </c>
    </row>
    <row r="48" spans="1:24" x14ac:dyDescent="0.2">
      <c r="C48" s="93" t="s">
        <v>326</v>
      </c>
      <c r="D48">
        <f>(C33+D34)/E35</f>
        <v>0.51926040061633283</v>
      </c>
      <c r="E48" t="s">
        <v>332</v>
      </c>
      <c r="G48" s="93" t="s">
        <v>326</v>
      </c>
      <c r="H48">
        <f>(G33+H34)/I35</f>
        <v>0.60833333333333328</v>
      </c>
      <c r="I48" t="s">
        <v>335</v>
      </c>
      <c r="K48" s="300" t="s">
        <v>145</v>
      </c>
      <c r="L48">
        <f>(D47*D49+H47*H49)/(2*(D47+H47)^2)</f>
        <v>3.7789318257744717E-2</v>
      </c>
      <c r="M48" s="216" t="s">
        <v>101</v>
      </c>
    </row>
    <row r="49" spans="2:25" x14ac:dyDescent="0.2">
      <c r="C49" s="93" t="s">
        <v>327</v>
      </c>
      <c r="D49">
        <f>(D33+C34)/E35</f>
        <v>0.48073959938366717</v>
      </c>
      <c r="E49" t="s">
        <v>333</v>
      </c>
      <c r="G49" s="93" t="s">
        <v>327</v>
      </c>
      <c r="H49">
        <f>(H33+G34)/I35</f>
        <v>0.39166666666666666</v>
      </c>
      <c r="I49" t="s">
        <v>336</v>
      </c>
      <c r="K49" s="302" t="s">
        <v>328</v>
      </c>
      <c r="L49">
        <f>SUM(L46:L48)</f>
        <v>0.10227612991896945</v>
      </c>
      <c r="M49" s="216" t="s">
        <v>101</v>
      </c>
    </row>
    <row r="50" spans="2:25" x14ac:dyDescent="0.2">
      <c r="C50" s="138" t="s">
        <v>342</v>
      </c>
      <c r="D50" s="138">
        <f>(1/C33+1/D33+1/C34+1/D34)</f>
        <v>0.5401903491329334</v>
      </c>
      <c r="E50" s="138"/>
      <c r="F50" s="138"/>
      <c r="G50" s="138"/>
      <c r="H50" s="138">
        <f>(1/G33+1/H33+1/G34+1/H34)</f>
        <v>0.14398610856409316</v>
      </c>
      <c r="K50" s="304" t="s">
        <v>337</v>
      </c>
      <c r="L50">
        <f>SQRT(L49)</f>
        <v>0.31980639443102049</v>
      </c>
      <c r="M50" s="216" t="s">
        <v>101</v>
      </c>
    </row>
    <row r="51" spans="2:25" x14ac:dyDescent="0.2">
      <c r="C51" s="216" t="s">
        <v>343</v>
      </c>
      <c r="D51" s="138">
        <f>((D43-LN($L$39))^2)/D50</f>
        <v>2.3751821103794946</v>
      </c>
      <c r="E51" s="138"/>
      <c r="F51" s="138"/>
      <c r="G51" s="216" t="s">
        <v>343</v>
      </c>
      <c r="H51" s="138">
        <f>((H43-LN($L$39))^2)/H50</f>
        <v>2.5565032296518715</v>
      </c>
      <c r="K51" s="304" t="s">
        <v>344</v>
      </c>
      <c r="L51">
        <f>D51+H51</f>
        <v>4.9316853400313665</v>
      </c>
      <c r="M51" s="216" t="s">
        <v>101</v>
      </c>
    </row>
    <row r="52" spans="2:25" ht="15.75" x14ac:dyDescent="0.25">
      <c r="B52" s="211"/>
      <c r="C52" s="212" t="s">
        <v>4</v>
      </c>
      <c r="D52" s="211"/>
      <c r="E52" s="211"/>
      <c r="F52" s="211"/>
      <c r="G52" s="212" t="s">
        <v>4</v>
      </c>
      <c r="H52" s="211"/>
      <c r="I52" s="211"/>
      <c r="J52" s="211"/>
      <c r="Y52" s="211"/>
    </row>
    <row r="53" spans="2:25" x14ac:dyDescent="0.2">
      <c r="B53" s="211"/>
      <c r="C53" s="213" t="s">
        <v>25</v>
      </c>
      <c r="D53" s="213" t="s">
        <v>26</v>
      </c>
      <c r="E53" s="211"/>
      <c r="F53" s="211"/>
      <c r="G53" s="213" t="s">
        <v>25</v>
      </c>
      <c r="H53" s="213" t="s">
        <v>26</v>
      </c>
      <c r="I53" s="211"/>
      <c r="J53" s="211"/>
      <c r="Y53" s="211"/>
    </row>
    <row r="54" spans="2:25" x14ac:dyDescent="0.2">
      <c r="B54" s="213" t="s">
        <v>1</v>
      </c>
      <c r="C54" s="214">
        <f>(C35/E35)*E33</f>
        <v>634.5</v>
      </c>
      <c r="D54" s="214">
        <f>(D35/E35)*E33</f>
        <v>634.5</v>
      </c>
      <c r="E54" s="215">
        <f>C54+D54</f>
        <v>1269</v>
      </c>
      <c r="F54" s="211"/>
      <c r="G54" s="214">
        <f>(G35/I35)*I33</f>
        <v>34.5</v>
      </c>
      <c r="H54" s="214">
        <f>(H35/I35)*I33</f>
        <v>34.5</v>
      </c>
      <c r="I54" s="215">
        <f>G54+H54</f>
        <v>69</v>
      </c>
      <c r="J54" s="211"/>
      <c r="Y54" s="215">
        <f>W54+X54</f>
        <v>0</v>
      </c>
    </row>
    <row r="55" spans="2:25" ht="15.75" x14ac:dyDescent="0.25">
      <c r="B55" s="213" t="s">
        <v>6</v>
      </c>
      <c r="C55" s="214">
        <f>(C35/E35)*E34</f>
        <v>14.5</v>
      </c>
      <c r="D55" s="214">
        <f>(D35/E35)*E34</f>
        <v>14.5</v>
      </c>
      <c r="E55" s="215">
        <f>C55+D55</f>
        <v>29</v>
      </c>
      <c r="F55" s="211"/>
      <c r="G55" s="214">
        <f>(G35/I35)*I34</f>
        <v>25.5</v>
      </c>
      <c r="H55" s="214">
        <f>(H35/I35)*I34</f>
        <v>25.5</v>
      </c>
      <c r="I55" s="215">
        <f>G55+H55</f>
        <v>51</v>
      </c>
      <c r="J55" s="211"/>
      <c r="K55" s="16"/>
      <c r="L55" s="65"/>
      <c r="O55" s="16"/>
      <c r="P55" s="65"/>
      <c r="S55" s="16"/>
      <c r="T55" s="65"/>
      <c r="W55" s="16"/>
      <c r="X55" s="65"/>
      <c r="Y55" s="215">
        <f>W55+X55</f>
        <v>0</v>
      </c>
    </row>
    <row r="56" spans="2:25" ht="15.75" x14ac:dyDescent="0.25">
      <c r="B56" s="211"/>
      <c r="C56" s="211">
        <f>C54+C55</f>
        <v>649</v>
      </c>
      <c r="D56" s="211">
        <f>D54+D55</f>
        <v>649</v>
      </c>
      <c r="E56" s="211">
        <f>E54+E55</f>
        <v>1298</v>
      </c>
      <c r="F56" s="211"/>
      <c r="G56" s="211">
        <f>G54+G55</f>
        <v>60</v>
      </c>
      <c r="H56" s="211">
        <f>H54+H55</f>
        <v>60</v>
      </c>
      <c r="I56" s="211">
        <f>I54+I55</f>
        <v>120</v>
      </c>
      <c r="J56" s="211"/>
      <c r="K56" s="16"/>
      <c r="L56" s="65"/>
      <c r="O56" s="16"/>
      <c r="P56" s="65"/>
      <c r="S56" s="16"/>
      <c r="T56" s="65"/>
      <c r="W56" s="16"/>
      <c r="X56" s="65"/>
      <c r="Y56" s="211">
        <f>Y54+Y55</f>
        <v>0</v>
      </c>
    </row>
    <row r="57" spans="2:25" ht="15.75" x14ac:dyDescent="0.25">
      <c r="B57" s="211"/>
      <c r="C57" s="310"/>
      <c r="D57" s="211"/>
      <c r="E57" s="211"/>
      <c r="F57" s="211"/>
      <c r="G57" s="211"/>
      <c r="H57" s="211"/>
      <c r="I57" s="211"/>
      <c r="J57" s="211"/>
      <c r="K57" s="16"/>
      <c r="L57" s="65"/>
      <c r="O57" s="16"/>
      <c r="P57" s="65"/>
      <c r="S57" s="16"/>
      <c r="T57" s="65"/>
      <c r="W57" s="16"/>
      <c r="X57" s="65"/>
      <c r="Y57" s="211"/>
    </row>
    <row r="58" spans="2:25" ht="15.75" x14ac:dyDescent="0.25">
      <c r="B58" s="313" t="s">
        <v>345</v>
      </c>
      <c r="C58" s="211">
        <f>C35*E33/E35</f>
        <v>634.5</v>
      </c>
      <c r="D58" s="211"/>
      <c r="E58" s="211"/>
      <c r="F58" s="211"/>
      <c r="G58" s="211">
        <f>G35*I33/I35</f>
        <v>34.5</v>
      </c>
      <c r="H58" s="211"/>
      <c r="I58" s="211"/>
      <c r="J58" s="211"/>
      <c r="K58" s="314" t="s">
        <v>346</v>
      </c>
      <c r="L58" s="315">
        <f>C58+G58</f>
        <v>669</v>
      </c>
      <c r="M58" s="216" t="s">
        <v>101</v>
      </c>
      <c r="O58" s="16"/>
      <c r="P58" s="65"/>
      <c r="S58" s="16"/>
      <c r="T58" s="65"/>
      <c r="W58" s="16"/>
      <c r="X58" s="65"/>
      <c r="Y58" s="211"/>
    </row>
    <row r="59" spans="2:25" ht="15" x14ac:dyDescent="0.2">
      <c r="B59" s="138" t="s">
        <v>347</v>
      </c>
      <c r="C59">
        <f>C33</f>
        <v>647</v>
      </c>
      <c r="G59">
        <f>G33</f>
        <v>41</v>
      </c>
      <c r="K59" s="316" t="s">
        <v>348</v>
      </c>
      <c r="L59" s="315">
        <f>C59+G59</f>
        <v>688</v>
      </c>
      <c r="M59" s="216" t="s">
        <v>101</v>
      </c>
      <c r="N59" s="216"/>
      <c r="O59" s="226"/>
      <c r="P59" s="225"/>
      <c r="Q59" s="216"/>
      <c r="R59" s="216"/>
      <c r="S59" s="226"/>
      <c r="T59" s="225"/>
      <c r="U59" s="216"/>
      <c r="V59" s="216"/>
      <c r="W59" s="226"/>
      <c r="X59" s="225"/>
    </row>
    <row r="60" spans="2:25" ht="15" x14ac:dyDescent="0.2">
      <c r="B60" s="138"/>
      <c r="K60" s="316" t="s">
        <v>349</v>
      </c>
      <c r="L60" s="315">
        <f>ABS(L58-L59)</f>
        <v>19</v>
      </c>
      <c r="M60" s="216" t="s">
        <v>101</v>
      </c>
      <c r="N60" s="216"/>
      <c r="O60" s="226"/>
      <c r="P60" s="225"/>
      <c r="Q60" s="216"/>
      <c r="R60" s="216"/>
      <c r="S60" s="226"/>
      <c r="T60" s="225"/>
      <c r="U60" s="216"/>
      <c r="V60" s="216"/>
      <c r="W60" s="226"/>
      <c r="X60" s="225"/>
    </row>
    <row r="61" spans="2:25" ht="15.75" x14ac:dyDescent="0.3">
      <c r="B61" s="1" t="s">
        <v>269</v>
      </c>
      <c r="C61" s="312">
        <f>(C35*D35*E33*E34)/((E35^2)*(E35-1))</f>
        <v>7.0934849653045493</v>
      </c>
      <c r="F61" s="1" t="s">
        <v>269</v>
      </c>
      <c r="G61" s="312">
        <f>(G35*H35*I33*I34)/((I35^2)*(I35-1))</f>
        <v>7.3928571428571432</v>
      </c>
      <c r="L61" s="315">
        <f>C61+G61</f>
        <v>14.486342108161693</v>
      </c>
      <c r="M61" s="216" t="s">
        <v>101</v>
      </c>
    </row>
    <row r="62" spans="2:25" x14ac:dyDescent="0.2">
      <c r="B62" s="1"/>
      <c r="E62" s="1"/>
      <c r="G62" s="138"/>
      <c r="K62" s="323" t="s">
        <v>353</v>
      </c>
      <c r="L62">
        <f>(L60/SQRT(L61))^2</f>
        <v>24.920024482689136</v>
      </c>
      <c r="M62" s="216" t="s">
        <v>101</v>
      </c>
    </row>
    <row r="63" spans="2:25" x14ac:dyDescent="0.2">
      <c r="B63" s="1"/>
      <c r="E63" s="1"/>
    </row>
    <row r="64" spans="2:25" x14ac:dyDescent="0.2">
      <c r="C64" s="224"/>
      <c r="G64" s="224"/>
    </row>
    <row r="65" spans="1:14" x14ac:dyDescent="0.2">
      <c r="E65" s="138"/>
    </row>
    <row r="74" spans="1:14" ht="15.75" x14ac:dyDescent="0.25">
      <c r="B74" s="75"/>
      <c r="C74" s="75"/>
      <c r="D74" s="75"/>
      <c r="E74" s="75"/>
      <c r="F74" s="75"/>
      <c r="G74" s="75"/>
      <c r="H74" s="75"/>
      <c r="I74" s="417" t="s">
        <v>300</v>
      </c>
      <c r="J74" s="417"/>
      <c r="K74" s="417"/>
      <c r="L74" s="418"/>
      <c r="M74" s="418"/>
      <c r="N74" s="418"/>
    </row>
    <row r="75" spans="1:14" x14ac:dyDescent="0.2">
      <c r="B75" s="75"/>
      <c r="C75" s="75"/>
      <c r="D75" s="75"/>
      <c r="E75" s="75"/>
      <c r="F75" s="75"/>
      <c r="G75" s="75"/>
      <c r="H75" s="242"/>
      <c r="I75" s="245">
        <v>0.9</v>
      </c>
      <c r="J75" s="245">
        <v>0.95</v>
      </c>
      <c r="K75" s="245">
        <v>0.99</v>
      </c>
      <c r="L75" s="75"/>
      <c r="M75" s="242"/>
      <c r="N75" s="242"/>
    </row>
    <row r="76" spans="1:14" x14ac:dyDescent="0.2">
      <c r="A76" s="75"/>
      <c r="B76" s="75"/>
      <c r="C76" s="75"/>
      <c r="D76" s="75"/>
      <c r="E76" s="75"/>
      <c r="F76" s="75"/>
      <c r="G76" s="75"/>
      <c r="H76" s="246" t="s">
        <v>291</v>
      </c>
      <c r="I76" s="288"/>
      <c r="J76" s="20">
        <f>E14</f>
        <v>2.2035052851845665</v>
      </c>
      <c r="K76" s="247"/>
      <c r="L76" s="75"/>
      <c r="M76" s="242"/>
      <c r="N76" s="242"/>
    </row>
    <row r="77" spans="1:14" x14ac:dyDescent="0.2">
      <c r="A77" s="75"/>
      <c r="B77" s="75"/>
      <c r="C77" s="75"/>
      <c r="D77" s="75"/>
      <c r="E77" s="75"/>
      <c r="F77" s="75"/>
      <c r="G77" s="75"/>
      <c r="H77" s="246" t="s">
        <v>292</v>
      </c>
      <c r="I77" s="288"/>
      <c r="J77" s="296">
        <f>F14</f>
        <v>3.3288186993642275</v>
      </c>
      <c r="K77" s="247"/>
      <c r="L77" s="75"/>
      <c r="M77" s="242"/>
      <c r="N77" s="242"/>
    </row>
    <row r="78" spans="1:14" x14ac:dyDescent="0.2">
      <c r="A78" s="75"/>
      <c r="B78" s="75"/>
      <c r="C78" s="75"/>
      <c r="D78" s="75"/>
      <c r="E78" s="75"/>
      <c r="F78" s="75"/>
      <c r="G78" s="75"/>
      <c r="H78" s="75"/>
      <c r="I78" s="242"/>
      <c r="J78" s="242"/>
      <c r="K78" s="242"/>
      <c r="L78" s="242"/>
      <c r="M78" s="248"/>
      <c r="N78" s="248"/>
    </row>
    <row r="79" spans="1:14" x14ac:dyDescent="0.2">
      <c r="A79" s="75"/>
      <c r="B79" s="75"/>
      <c r="C79" s="75"/>
      <c r="D79" s="75"/>
      <c r="E79" s="75"/>
      <c r="F79" s="75"/>
      <c r="G79" s="75"/>
      <c r="H79" s="75"/>
      <c r="I79" s="242"/>
      <c r="J79" s="75"/>
      <c r="K79" s="249" t="s">
        <v>293</v>
      </c>
      <c r="L79" s="250"/>
      <c r="M79" s="175"/>
      <c r="N79" s="242"/>
    </row>
    <row r="80" spans="1:14" x14ac:dyDescent="0.2">
      <c r="A80" s="75"/>
      <c r="B80" s="75"/>
      <c r="C80" s="75"/>
      <c r="D80" s="75"/>
      <c r="E80" s="75"/>
      <c r="F80" s="75"/>
      <c r="G80" s="75"/>
      <c r="H80" s="75"/>
      <c r="I80" s="242"/>
      <c r="J80" s="75"/>
      <c r="K80" s="249">
        <f>IF(SUM(I76)+SUM(I77)&gt;0,IF(SUM(I76)&gt;0,IF(SUM(I77)&gt;0,EXP((LN(I76)+LN(I77))/2),0.000001),0.000001),IF(SUM(J76)+SUM(J77)&gt;0,IF(SUM(J76)&gt;0,IF(SUM(J77)&gt;0,EXP((LN(J76)+LN(J77))/2),0.000001),0.000001),IF(SUM(K76)+SUM(K77)&gt;0,IF(SUM(K76)&gt;0,IF(SUM(K77)&gt;0,EXP((LN(K76)+LN(K77))/2),0.000001),0.000001),0.00001)))</f>
        <v>2.7083333615842586</v>
      </c>
      <c r="L80" s="250"/>
      <c r="M80" s="242"/>
      <c r="N80" s="242"/>
    </row>
    <row r="81" spans="1:14" x14ac:dyDescent="0.2">
      <c r="A81" s="75"/>
      <c r="B81" s="75"/>
      <c r="C81" s="75"/>
      <c r="D81" s="75"/>
      <c r="E81" s="75"/>
      <c r="F81" s="75"/>
      <c r="G81" s="75"/>
      <c r="H81" s="75"/>
      <c r="I81" s="242"/>
      <c r="J81" s="75"/>
      <c r="K81" s="251"/>
      <c r="L81" s="250"/>
      <c r="M81" s="242"/>
      <c r="N81" s="242"/>
    </row>
    <row r="82" spans="1:14" x14ac:dyDescent="0.2">
      <c r="A82" s="75"/>
      <c r="B82" s="75"/>
      <c r="C82" s="75"/>
      <c r="D82" s="75"/>
      <c r="E82" s="75"/>
      <c r="F82" s="75"/>
      <c r="G82" s="75"/>
      <c r="H82" s="75"/>
      <c r="I82" s="242"/>
      <c r="J82" s="242"/>
      <c r="K82" s="249" t="s">
        <v>294</v>
      </c>
      <c r="L82" s="252"/>
      <c r="M82" s="248"/>
      <c r="N82" s="248"/>
    </row>
    <row r="83" spans="1:14" x14ac:dyDescent="0.2">
      <c r="A83" s="75"/>
      <c r="B83" s="75"/>
      <c r="C83" s="75"/>
      <c r="D83" s="75"/>
      <c r="E83" s="75"/>
      <c r="F83" s="75"/>
      <c r="G83" s="75"/>
      <c r="H83" s="75"/>
      <c r="I83" s="242"/>
      <c r="J83" s="242"/>
      <c r="K83" s="249">
        <f>IF(SUM(I76)+SUM(I77)&gt;0,IF(SUM(I76)&gt;0,IF(SUM(I77)&gt;0,(LN(I77)-LN(I76))/3.29,0.000001),0.000001),IF(SUM(J76)+SUM(J77)&gt;0,IF(SUM(J76)&gt;0,IF(SUM(J77)&gt;0,(LN(J77)-LN(J76))/3.84,0.000001),0.000001),IF(SUM(K76)+SUM(K77)&gt;0,IF(SUM(K76)&gt;0,IF(SUM(K77)&gt;0,(LN(K77)-LN(K76))/5.16,0.000001),0.000001),0.000001)))</f>
        <v>0.10743960736511107</v>
      </c>
      <c r="L83" s="253"/>
      <c r="M83" s="242"/>
      <c r="N83" s="242"/>
    </row>
    <row r="84" spans="1:14" x14ac:dyDescent="0.2">
      <c r="A84" s="75"/>
      <c r="B84" s="75"/>
      <c r="C84" s="75"/>
      <c r="D84" s="75"/>
      <c r="E84" s="75"/>
      <c r="F84" s="75"/>
      <c r="G84" s="75"/>
      <c r="H84" s="75"/>
      <c r="I84" s="242"/>
      <c r="J84" s="242"/>
      <c r="K84" s="75"/>
      <c r="L84" s="75"/>
      <c r="M84" s="242"/>
      <c r="N84" s="242"/>
    </row>
    <row r="85" spans="1:14" x14ac:dyDescent="0.2">
      <c r="A85" s="75"/>
      <c r="B85" s="75"/>
      <c r="C85" s="75"/>
      <c r="D85" s="75"/>
      <c r="E85" s="75"/>
      <c r="F85" s="75"/>
      <c r="G85" s="75"/>
      <c r="H85" s="75"/>
      <c r="I85" s="242"/>
      <c r="J85" s="242"/>
      <c r="K85" s="242"/>
      <c r="L85" s="242"/>
      <c r="M85" s="242"/>
      <c r="N85" s="242"/>
    </row>
    <row r="86" spans="1:14" x14ac:dyDescent="0.2">
      <c r="A86" s="75"/>
      <c r="B86" s="251" t="s">
        <v>295</v>
      </c>
      <c r="C86" s="239"/>
      <c r="D86" s="419" t="s">
        <v>296</v>
      </c>
      <c r="E86" s="420"/>
      <c r="F86" s="75"/>
      <c r="G86" s="75"/>
      <c r="H86" s="75"/>
      <c r="I86" s="242"/>
      <c r="J86" s="242"/>
      <c r="K86" s="242"/>
      <c r="L86" s="242"/>
      <c r="M86" s="242"/>
      <c r="N86" s="242"/>
    </row>
    <row r="87" spans="1:14" x14ac:dyDescent="0.2">
      <c r="A87" s="257" t="s">
        <v>301</v>
      </c>
      <c r="B87" s="251" t="s">
        <v>298</v>
      </c>
      <c r="C87" s="75"/>
      <c r="D87" s="251" t="s">
        <v>290</v>
      </c>
      <c r="E87" s="251"/>
      <c r="F87" s="251" t="s">
        <v>299</v>
      </c>
      <c r="G87" s="75"/>
      <c r="H87" s="255" t="str">
        <f>D87</f>
        <v>Curve 1</v>
      </c>
      <c r="I87" s="256" t="str">
        <f>B87</f>
        <v>p-value</v>
      </c>
      <c r="J87" s="242"/>
      <c r="K87" s="242"/>
      <c r="L87" s="242"/>
      <c r="M87" s="242"/>
      <c r="N87" s="242"/>
    </row>
    <row r="88" spans="1:14" x14ac:dyDescent="0.2">
      <c r="A88" s="250"/>
      <c r="B88" s="250">
        <f t="shared" ref="B88:B146" si="0">C88</f>
        <v>3.7312000000000001E-3</v>
      </c>
      <c r="C88" s="250">
        <v>3.7312000000000001E-3</v>
      </c>
      <c r="D88" s="250">
        <f t="shared" ref="D88:D117" si="1">EXP(LN($K$80) - A90*($K$83))</f>
        <v>1.9832929882426173</v>
      </c>
      <c r="E88" s="250"/>
      <c r="F88" s="251"/>
      <c r="G88" s="251"/>
      <c r="H88" s="255">
        <f t="shared" ref="H88:H146" si="2">D88</f>
        <v>1.9832929882426173</v>
      </c>
      <c r="I88" s="256">
        <f t="shared" ref="I88:I146" si="3">B88</f>
        <v>3.7312000000000001E-3</v>
      </c>
      <c r="J88" s="242"/>
      <c r="K88" s="242"/>
      <c r="L88" s="242"/>
      <c r="M88" s="242"/>
      <c r="N88" s="242"/>
    </row>
    <row r="89" spans="1:14" x14ac:dyDescent="0.2">
      <c r="A89" s="251" t="s">
        <v>297</v>
      </c>
      <c r="B89" s="250">
        <f t="shared" si="0"/>
        <v>5.1098999999999997E-3</v>
      </c>
      <c r="C89" s="250">
        <v>5.1098999999999997E-3</v>
      </c>
      <c r="D89" s="250">
        <f t="shared" si="1"/>
        <v>2.0047162897135014</v>
      </c>
      <c r="E89" s="250"/>
      <c r="F89" s="251"/>
      <c r="G89" s="251"/>
      <c r="H89" s="255">
        <f t="shared" si="2"/>
        <v>2.0047162897135014</v>
      </c>
      <c r="I89" s="256">
        <f t="shared" si="3"/>
        <v>5.1098999999999997E-3</v>
      </c>
      <c r="J89" s="242"/>
      <c r="K89" s="242"/>
      <c r="L89" s="242"/>
      <c r="M89" s="242"/>
      <c r="N89" s="242"/>
    </row>
    <row r="90" spans="1:14" x14ac:dyDescent="0.2">
      <c r="A90" s="250">
        <v>2.9</v>
      </c>
      <c r="B90" s="250">
        <f t="shared" si="0"/>
        <v>6.9335000000000004E-3</v>
      </c>
      <c r="C90" s="250">
        <v>6.9335000000000004E-3</v>
      </c>
      <c r="D90" s="250">
        <f t="shared" si="1"/>
        <v>2.0263710032090496</v>
      </c>
      <c r="E90" s="250"/>
      <c r="F90" s="251"/>
      <c r="G90" s="251"/>
      <c r="H90" s="255">
        <f t="shared" si="2"/>
        <v>2.0263710032090496</v>
      </c>
      <c r="I90" s="256">
        <f t="shared" si="3"/>
        <v>6.9335000000000004E-3</v>
      </c>
      <c r="J90" s="242"/>
      <c r="K90" s="242"/>
      <c r="L90" s="242"/>
      <c r="M90" s="242"/>
      <c r="N90" s="242"/>
    </row>
    <row r="91" spans="1:14" x14ac:dyDescent="0.2">
      <c r="A91" s="250">
        <v>2.8</v>
      </c>
      <c r="B91" s="250">
        <f t="shared" si="0"/>
        <v>9.3220000000000004E-3</v>
      </c>
      <c r="C91" s="250">
        <v>9.3220000000000004E-3</v>
      </c>
      <c r="D91" s="250">
        <f t="shared" si="1"/>
        <v>2.0482596284151882</v>
      </c>
      <c r="E91" s="250"/>
      <c r="F91" s="251"/>
      <c r="G91" s="251"/>
      <c r="H91" s="255">
        <f t="shared" si="2"/>
        <v>2.0482596284151882</v>
      </c>
      <c r="I91" s="256">
        <f t="shared" si="3"/>
        <v>9.3220000000000004E-3</v>
      </c>
      <c r="J91" s="242"/>
      <c r="K91" s="242"/>
      <c r="L91" s="242"/>
      <c r="M91" s="242"/>
      <c r="N91" s="242"/>
    </row>
    <row r="92" spans="1:14" x14ac:dyDescent="0.2">
      <c r="A92" s="250">
        <v>2.7</v>
      </c>
      <c r="B92" s="250">
        <f t="shared" si="0"/>
        <v>1.24189E-2</v>
      </c>
      <c r="C92" s="250">
        <v>1.24189E-2</v>
      </c>
      <c r="D92" s="250">
        <f t="shared" si="1"/>
        <v>2.0703846920191595</v>
      </c>
      <c r="E92" s="250"/>
      <c r="F92" s="251"/>
      <c r="G92" s="251"/>
      <c r="H92" s="255">
        <f t="shared" si="2"/>
        <v>2.0703846920191595</v>
      </c>
      <c r="I92" s="256">
        <f t="shared" si="3"/>
        <v>1.24189E-2</v>
      </c>
      <c r="J92" s="242"/>
      <c r="K92" s="242"/>
      <c r="L92" s="242"/>
      <c r="M92" s="242"/>
      <c r="N92" s="242"/>
    </row>
    <row r="93" spans="1:14" x14ac:dyDescent="0.2">
      <c r="A93" s="250">
        <v>2.6</v>
      </c>
      <c r="B93" s="250">
        <f t="shared" si="0"/>
        <v>1.6394700000000002E-2</v>
      </c>
      <c r="C93" s="250">
        <v>1.6394700000000002E-2</v>
      </c>
      <c r="D93" s="250">
        <f t="shared" si="1"/>
        <v>2.0927487480011915</v>
      </c>
      <c r="E93" s="250"/>
      <c r="F93" s="251"/>
      <c r="G93" s="251"/>
      <c r="H93" s="255">
        <f t="shared" si="2"/>
        <v>2.0927487480011915</v>
      </c>
      <c r="I93" s="256">
        <f t="shared" si="3"/>
        <v>1.6394700000000002E-2</v>
      </c>
      <c r="J93" s="242"/>
      <c r="K93" s="242"/>
      <c r="L93" s="242"/>
      <c r="M93" s="242"/>
      <c r="N93" s="242"/>
    </row>
    <row r="94" spans="1:14" x14ac:dyDescent="0.2">
      <c r="A94" s="250">
        <v>2.5</v>
      </c>
      <c r="B94" s="250">
        <f t="shared" si="0"/>
        <v>2.14478E-2</v>
      </c>
      <c r="C94" s="250">
        <v>2.14478E-2</v>
      </c>
      <c r="D94" s="250">
        <f t="shared" si="1"/>
        <v>2.11535437792931</v>
      </c>
      <c r="E94" s="250"/>
      <c r="F94" s="251"/>
      <c r="G94" s="251"/>
      <c r="H94" s="255">
        <f t="shared" si="2"/>
        <v>2.11535437792931</v>
      </c>
      <c r="I94" s="256">
        <f t="shared" si="3"/>
        <v>2.14478E-2</v>
      </c>
      <c r="J94" s="242"/>
      <c r="K94" s="242"/>
      <c r="L94" s="242"/>
      <c r="M94" s="242"/>
      <c r="N94" s="242"/>
    </row>
    <row r="95" spans="1:14" x14ac:dyDescent="0.2">
      <c r="A95" s="250">
        <v>2.4</v>
      </c>
      <c r="B95" s="250">
        <f t="shared" si="0"/>
        <v>2.7806500000000001E-2</v>
      </c>
      <c r="C95" s="250">
        <v>2.7806500000000001E-2</v>
      </c>
      <c r="D95" s="250">
        <f t="shared" si="1"/>
        <v>2.1382041912573393</v>
      </c>
      <c r="E95" s="250"/>
      <c r="F95" s="251"/>
      <c r="G95" s="251"/>
      <c r="H95" s="255">
        <f t="shared" si="2"/>
        <v>2.1382041912573393</v>
      </c>
      <c r="I95" s="256">
        <f t="shared" si="3"/>
        <v>2.7806500000000001E-2</v>
      </c>
      <c r="J95" s="242"/>
      <c r="K95" s="242"/>
      <c r="L95" s="242"/>
      <c r="M95" s="242"/>
      <c r="N95" s="242"/>
    </row>
    <row r="96" spans="1:14" x14ac:dyDescent="0.2">
      <c r="A96" s="250">
        <v>2.2999999999999998</v>
      </c>
      <c r="B96" s="250">
        <f t="shared" si="0"/>
        <v>3.57284E-2</v>
      </c>
      <c r="C96" s="250">
        <v>3.57284E-2</v>
      </c>
      <c r="D96" s="250">
        <f t="shared" si="1"/>
        <v>2.1613008256261237</v>
      </c>
      <c r="E96" s="250"/>
      <c r="F96" s="251"/>
      <c r="G96" s="251"/>
      <c r="H96" s="255">
        <f t="shared" si="2"/>
        <v>2.1613008256261237</v>
      </c>
      <c r="I96" s="256">
        <f t="shared" si="3"/>
        <v>3.57284E-2</v>
      </c>
      <c r="J96" s="242"/>
      <c r="K96" s="242"/>
      <c r="L96" s="242"/>
      <c r="M96" s="242"/>
      <c r="N96" s="242"/>
    </row>
    <row r="97" spans="1:14" x14ac:dyDescent="0.2">
      <c r="A97" s="250">
        <v>2.2000000000000002</v>
      </c>
      <c r="B97" s="250">
        <f t="shared" si="0"/>
        <v>4.5499900000000003E-2</v>
      </c>
      <c r="C97" s="250">
        <v>4.5499900000000003E-2</v>
      </c>
      <c r="D97" s="250">
        <f t="shared" si="1"/>
        <v>2.1846469471679977</v>
      </c>
      <c r="E97" s="250"/>
      <c r="F97" s="251"/>
      <c r="G97" s="251"/>
      <c r="H97" s="255">
        <f t="shared" si="2"/>
        <v>2.1846469471679977</v>
      </c>
      <c r="I97" s="256">
        <f t="shared" si="3"/>
        <v>4.5499900000000003E-2</v>
      </c>
      <c r="J97" s="242"/>
      <c r="K97" s="242"/>
      <c r="L97" s="242"/>
      <c r="M97" s="242"/>
      <c r="N97" s="242"/>
    </row>
    <row r="98" spans="1:14" x14ac:dyDescent="0.2">
      <c r="A98" s="250">
        <v>2.1</v>
      </c>
      <c r="B98" s="250">
        <f t="shared" si="0"/>
        <v>5.7432700000000003E-2</v>
      </c>
      <c r="C98" s="250">
        <v>5.7432700000000003E-2</v>
      </c>
      <c r="D98" s="250">
        <f t="shared" si="1"/>
        <v>2.2082452508145494</v>
      </c>
      <c r="E98" s="250"/>
      <c r="F98" s="251"/>
      <c r="G98" s="251"/>
      <c r="H98" s="255">
        <f t="shared" si="2"/>
        <v>2.2082452508145494</v>
      </c>
      <c r="I98" s="256">
        <f t="shared" si="3"/>
        <v>5.7432700000000003E-2</v>
      </c>
      <c r="J98" s="242"/>
      <c r="K98" s="242"/>
      <c r="L98" s="242"/>
      <c r="M98" s="242"/>
      <c r="N98" s="242"/>
    </row>
    <row r="99" spans="1:14" x14ac:dyDescent="0.2">
      <c r="A99" s="250">
        <v>2</v>
      </c>
      <c r="B99" s="250">
        <f t="shared" si="0"/>
        <v>7.1860300000000002E-2</v>
      </c>
      <c r="C99" s="250">
        <v>7.1860300000000002E-2</v>
      </c>
      <c r="D99" s="250">
        <f t="shared" si="1"/>
        <v>2.2320984606077059</v>
      </c>
      <c r="E99" s="250"/>
      <c r="F99" s="251"/>
      <c r="G99" s="251"/>
      <c r="H99" s="255">
        <f t="shared" si="2"/>
        <v>2.2320984606077059</v>
      </c>
      <c r="I99" s="256">
        <f t="shared" si="3"/>
        <v>7.1860300000000002E-2</v>
      </c>
      <c r="J99" s="242"/>
      <c r="K99" s="242"/>
      <c r="L99" s="242"/>
      <c r="M99" s="242"/>
      <c r="N99" s="242"/>
    </row>
    <row r="100" spans="1:14" x14ac:dyDescent="0.2">
      <c r="A100" s="250">
        <v>1.9</v>
      </c>
      <c r="B100" s="250">
        <f t="shared" si="0"/>
        <v>8.9130600000000004E-2</v>
      </c>
      <c r="C100" s="250">
        <v>8.9130600000000004E-2</v>
      </c>
      <c r="D100" s="250">
        <f t="shared" si="1"/>
        <v>2.2562093300141806</v>
      </c>
      <c r="E100" s="250"/>
      <c r="F100" s="251"/>
      <c r="G100" s="251"/>
      <c r="H100" s="255">
        <f t="shared" si="2"/>
        <v>2.2562093300141806</v>
      </c>
      <c r="I100" s="256">
        <f t="shared" si="3"/>
        <v>8.9130600000000004E-2</v>
      </c>
      <c r="J100" s="242"/>
      <c r="K100" s="242"/>
      <c r="L100" s="242"/>
      <c r="M100" s="242"/>
      <c r="N100" s="242"/>
    </row>
    <row r="101" spans="1:14" x14ac:dyDescent="0.2">
      <c r="A101" s="250">
        <v>1.8</v>
      </c>
      <c r="B101" s="250">
        <f t="shared" si="0"/>
        <v>0.10959820000000001</v>
      </c>
      <c r="C101" s="250">
        <v>0.10959820000000001</v>
      </c>
      <c r="D101" s="250">
        <f t="shared" si="1"/>
        <v>2.2805806422433155</v>
      </c>
      <c r="E101" s="250"/>
      <c r="F101" s="251"/>
      <c r="G101" s="251"/>
      <c r="H101" s="255">
        <f t="shared" si="2"/>
        <v>2.2805806422433155</v>
      </c>
      <c r="I101" s="256">
        <f t="shared" si="3"/>
        <v>0.10959820000000001</v>
      </c>
      <c r="J101" s="242"/>
      <c r="K101" s="242"/>
      <c r="L101" s="242"/>
      <c r="M101" s="242"/>
      <c r="N101" s="242"/>
    </row>
    <row r="102" spans="1:14" x14ac:dyDescent="0.2">
      <c r="A102" s="250">
        <v>1.7</v>
      </c>
      <c r="B102" s="250">
        <f t="shared" si="0"/>
        <v>0.13361400000000001</v>
      </c>
      <c r="C102" s="250">
        <v>0.13361400000000001</v>
      </c>
      <c r="D102" s="250">
        <f t="shared" si="1"/>
        <v>2.3052152105683579</v>
      </c>
      <c r="E102" s="250"/>
      <c r="F102" s="251"/>
      <c r="G102" s="251"/>
      <c r="H102" s="255">
        <f t="shared" si="2"/>
        <v>2.3052152105683579</v>
      </c>
      <c r="I102" s="256">
        <f t="shared" si="3"/>
        <v>0.13361400000000001</v>
      </c>
      <c r="J102" s="242"/>
      <c r="K102" s="242"/>
      <c r="L102" s="242"/>
      <c r="M102" s="242"/>
      <c r="N102" s="242"/>
    </row>
    <row r="103" spans="1:14" x14ac:dyDescent="0.2">
      <c r="A103" s="250">
        <v>1.6</v>
      </c>
      <c r="B103" s="250">
        <f t="shared" si="0"/>
        <v>0.16151299999999999</v>
      </c>
      <c r="C103" s="250">
        <v>0.16151299999999999</v>
      </c>
      <c r="D103" s="250">
        <f t="shared" si="1"/>
        <v>2.330115878651208</v>
      </c>
      <c r="E103" s="250"/>
      <c r="F103" s="251"/>
      <c r="G103" s="251"/>
      <c r="H103" s="255">
        <f t="shared" si="2"/>
        <v>2.330115878651208</v>
      </c>
      <c r="I103" s="256">
        <f t="shared" si="3"/>
        <v>0.16151299999999999</v>
      </c>
      <c r="J103" s="254"/>
      <c r="K103" s="254"/>
      <c r="L103" s="254"/>
      <c r="M103" s="254"/>
      <c r="N103" s="254"/>
    </row>
    <row r="104" spans="1:14" x14ac:dyDescent="0.2">
      <c r="A104" s="250">
        <v>1.5</v>
      </c>
      <c r="B104" s="250">
        <f t="shared" si="0"/>
        <v>0.19360060000000001</v>
      </c>
      <c r="C104" s="250">
        <v>0.19360060000000001</v>
      </c>
      <c r="D104" s="250">
        <f t="shared" si="1"/>
        <v>2.3552855208706718</v>
      </c>
      <c r="E104" s="250"/>
      <c r="F104" s="251"/>
      <c r="G104" s="251"/>
      <c r="H104" s="255">
        <f t="shared" si="2"/>
        <v>2.3552855208706718</v>
      </c>
      <c r="I104" s="256">
        <f t="shared" si="3"/>
        <v>0.19360060000000001</v>
      </c>
      <c r="J104" s="254"/>
      <c r="K104" s="254"/>
      <c r="L104" s="254"/>
      <c r="M104" s="254"/>
      <c r="N104" s="254"/>
    </row>
    <row r="105" spans="1:14" x14ac:dyDescent="0.2">
      <c r="A105" s="250">
        <v>1.4</v>
      </c>
      <c r="B105" s="250">
        <f t="shared" si="0"/>
        <v>0.23013900000000001</v>
      </c>
      <c r="C105" s="250">
        <v>0.23013900000000001</v>
      </c>
      <c r="D105" s="250">
        <f t="shared" si="1"/>
        <v>2.3807270426542635</v>
      </c>
      <c r="E105" s="250"/>
      <c r="F105" s="251"/>
      <c r="G105" s="251"/>
      <c r="H105" s="255">
        <f t="shared" si="2"/>
        <v>2.3807270426542635</v>
      </c>
      <c r="I105" s="256">
        <f t="shared" si="3"/>
        <v>0.23013900000000001</v>
      </c>
      <c r="J105" s="254"/>
      <c r="K105" s="254"/>
      <c r="L105" s="254"/>
      <c r="M105" s="254"/>
      <c r="N105" s="254"/>
    </row>
    <row r="106" spans="1:14" x14ac:dyDescent="0.2">
      <c r="A106" s="250">
        <v>1.3</v>
      </c>
      <c r="B106" s="250">
        <f t="shared" si="0"/>
        <v>0.27133180000000001</v>
      </c>
      <c r="C106" s="250">
        <v>0.27133180000000001</v>
      </c>
      <c r="D106" s="250">
        <f t="shared" si="1"/>
        <v>2.4064433808135899</v>
      </c>
      <c r="E106" s="250"/>
      <c r="F106" s="251"/>
      <c r="G106" s="251"/>
      <c r="H106" s="255">
        <f t="shared" si="2"/>
        <v>2.4064433808135899</v>
      </c>
      <c r="I106" s="256">
        <f t="shared" si="3"/>
        <v>0.27133180000000001</v>
      </c>
      <c r="J106" s="254"/>
      <c r="K106" s="254"/>
      <c r="L106" s="254"/>
      <c r="M106" s="254"/>
      <c r="N106" s="254"/>
    </row>
    <row r="107" spans="1:14" x14ac:dyDescent="0.2">
      <c r="A107" s="250">
        <v>1.2</v>
      </c>
      <c r="B107" s="250">
        <f t="shared" si="0"/>
        <v>0.31731019999999999</v>
      </c>
      <c r="C107" s="250">
        <v>0.31731019999999999</v>
      </c>
      <c r="D107" s="250">
        <f t="shared" si="1"/>
        <v>2.4324375038833561</v>
      </c>
      <c r="E107" s="250"/>
      <c r="F107" s="251"/>
      <c r="G107" s="251"/>
      <c r="H107" s="255">
        <f t="shared" si="2"/>
        <v>2.4324375038833561</v>
      </c>
      <c r="I107" s="256">
        <f t="shared" si="3"/>
        <v>0.31731019999999999</v>
      </c>
      <c r="J107" s="254"/>
      <c r="K107" s="254"/>
      <c r="L107" s="254"/>
      <c r="M107" s="254"/>
      <c r="N107" s="254"/>
    </row>
    <row r="108" spans="1:14" x14ac:dyDescent="0.2">
      <c r="A108" s="250">
        <v>1.1000000000000001</v>
      </c>
      <c r="B108" s="250">
        <f t="shared" si="0"/>
        <v>0.36812</v>
      </c>
      <c r="C108" s="250">
        <v>0.36812</v>
      </c>
      <c r="D108" s="250">
        <f t="shared" si="1"/>
        <v>2.4587124124640356</v>
      </c>
      <c r="E108" s="250"/>
      <c r="F108" s="251"/>
      <c r="G108" s="251"/>
      <c r="H108" s="255">
        <f t="shared" si="2"/>
        <v>2.4587124124640356</v>
      </c>
      <c r="I108" s="256">
        <f t="shared" si="3"/>
        <v>0.36812</v>
      </c>
      <c r="J108" s="254"/>
      <c r="K108" s="254"/>
      <c r="L108" s="254"/>
      <c r="M108" s="254"/>
      <c r="N108" s="254"/>
    </row>
    <row r="109" spans="1:14" x14ac:dyDescent="0.2">
      <c r="A109" s="250">
        <v>1</v>
      </c>
      <c r="B109" s="250">
        <f t="shared" si="0"/>
        <v>0.42371049999999999</v>
      </c>
      <c r="C109" s="250">
        <v>0.42371049999999999</v>
      </c>
      <c r="D109" s="250">
        <f t="shared" si="1"/>
        <v>2.4852711395682414</v>
      </c>
      <c r="E109" s="250"/>
      <c r="F109" s="251"/>
      <c r="G109" s="251"/>
      <c r="H109" s="255">
        <f t="shared" si="2"/>
        <v>2.4852711395682414</v>
      </c>
      <c r="I109" s="256">
        <f t="shared" si="3"/>
        <v>0.42371049999999999</v>
      </c>
      <c r="J109" s="254"/>
      <c r="K109" s="254"/>
      <c r="L109" s="254"/>
      <c r="M109" s="254"/>
      <c r="N109" s="254"/>
    </row>
    <row r="110" spans="1:14" x14ac:dyDescent="0.2">
      <c r="A110" s="250">
        <v>0.9</v>
      </c>
      <c r="B110" s="250">
        <f t="shared" si="0"/>
        <v>0.4839271</v>
      </c>
      <c r="C110" s="250">
        <v>0.4839271</v>
      </c>
      <c r="D110" s="250">
        <f t="shared" si="1"/>
        <v>2.5121167509708391</v>
      </c>
      <c r="E110" s="250"/>
      <c r="F110" s="251"/>
      <c r="G110" s="251"/>
      <c r="H110" s="255">
        <f t="shared" si="2"/>
        <v>2.5121167509708391</v>
      </c>
      <c r="I110" s="256">
        <f t="shared" si="3"/>
        <v>0.4839271</v>
      </c>
      <c r="J110" s="254"/>
      <c r="K110" s="254"/>
      <c r="L110" s="254"/>
      <c r="M110" s="254"/>
      <c r="N110" s="254"/>
    </row>
    <row r="111" spans="1:14" x14ac:dyDescent="0.2">
      <c r="A111" s="250">
        <v>0.8</v>
      </c>
      <c r="B111" s="250">
        <f t="shared" si="0"/>
        <v>0.54850600000000005</v>
      </c>
      <c r="C111" s="250">
        <v>0.54850600000000005</v>
      </c>
      <c r="D111" s="250">
        <f t="shared" si="1"/>
        <v>2.5392523455628377</v>
      </c>
      <c r="E111" s="250"/>
      <c r="F111" s="251"/>
      <c r="G111" s="251"/>
      <c r="H111" s="255">
        <f t="shared" si="2"/>
        <v>2.5392523455628377</v>
      </c>
      <c r="I111" s="256">
        <f t="shared" si="3"/>
        <v>0.54850600000000005</v>
      </c>
      <c r="J111" s="254"/>
      <c r="K111" s="254"/>
      <c r="L111" s="254"/>
      <c r="M111" s="254"/>
      <c r="N111" s="254"/>
    </row>
    <row r="112" spans="1:14" x14ac:dyDescent="0.2">
      <c r="A112" s="250">
        <v>0.7</v>
      </c>
      <c r="B112" s="250">
        <f t="shared" si="0"/>
        <v>0.61707489999999998</v>
      </c>
      <c r="C112" s="250">
        <v>0.61707489999999998</v>
      </c>
      <c r="D112" s="250">
        <f t="shared" si="1"/>
        <v>2.5666810557091102</v>
      </c>
      <c r="E112" s="250"/>
      <c r="F112" s="251"/>
      <c r="G112" s="251"/>
      <c r="H112" s="255">
        <f t="shared" si="2"/>
        <v>2.5666810557091102</v>
      </c>
      <c r="I112" s="256">
        <f t="shared" si="3"/>
        <v>0.61707489999999998</v>
      </c>
      <c r="J112" s="254"/>
      <c r="K112" s="254"/>
      <c r="L112" s="254"/>
      <c r="M112" s="254"/>
      <c r="N112" s="254"/>
    </row>
    <row r="113" spans="1:14" x14ac:dyDescent="0.2">
      <c r="A113" s="250">
        <v>0.6</v>
      </c>
      <c r="B113" s="250">
        <f t="shared" si="0"/>
        <v>0.68915630000000005</v>
      </c>
      <c r="C113" s="250">
        <v>0.68915630000000005</v>
      </c>
      <c r="D113" s="250">
        <f t="shared" si="1"/>
        <v>2.5944060476099722</v>
      </c>
      <c r="E113" s="250"/>
      <c r="F113" s="251"/>
      <c r="G113" s="251"/>
      <c r="H113" s="255">
        <f t="shared" si="2"/>
        <v>2.5944060476099722</v>
      </c>
      <c r="I113" s="256">
        <f t="shared" si="3"/>
        <v>0.68915630000000005</v>
      </c>
      <c r="J113" s="228"/>
      <c r="K113" s="228"/>
      <c r="L113" s="228"/>
      <c r="M113" s="228"/>
      <c r="N113" s="228"/>
    </row>
    <row r="114" spans="1:14" x14ac:dyDescent="0.2">
      <c r="A114" s="250">
        <v>0.5</v>
      </c>
      <c r="B114" s="250">
        <f t="shared" si="0"/>
        <v>0.764177</v>
      </c>
      <c r="C114" s="250">
        <v>0.764177</v>
      </c>
      <c r="D114" s="250">
        <f t="shared" si="1"/>
        <v>2.6224305216666681</v>
      </c>
      <c r="E114" s="250"/>
      <c r="F114" s="251"/>
      <c r="G114" s="251"/>
      <c r="H114" s="255">
        <f t="shared" si="2"/>
        <v>2.6224305216666681</v>
      </c>
      <c r="I114" s="256">
        <f t="shared" si="3"/>
        <v>0.764177</v>
      </c>
      <c r="J114" s="228"/>
      <c r="K114" s="228"/>
      <c r="L114" s="228"/>
      <c r="M114" s="228"/>
      <c r="N114" s="228"/>
    </row>
    <row r="115" spans="1:14" x14ac:dyDescent="0.2">
      <c r="A115" s="250">
        <v>0.4</v>
      </c>
      <c r="B115" s="250">
        <f t="shared" si="0"/>
        <v>0.84148049999999996</v>
      </c>
      <c r="C115" s="250">
        <v>0.84148049999999996</v>
      </c>
      <c r="D115" s="250">
        <f t="shared" si="1"/>
        <v>2.6507577128508077</v>
      </c>
      <c r="E115" s="250"/>
      <c r="F115" s="251"/>
      <c r="G115" s="251"/>
      <c r="H115" s="255">
        <f t="shared" si="2"/>
        <v>2.6507577128508077</v>
      </c>
      <c r="I115" s="256">
        <f t="shared" si="3"/>
        <v>0.84148049999999996</v>
      </c>
      <c r="J115" s="228"/>
      <c r="K115" s="228"/>
      <c r="L115" s="228"/>
      <c r="M115" s="228"/>
      <c r="N115" s="228"/>
    </row>
    <row r="116" spans="1:14" x14ac:dyDescent="0.2">
      <c r="A116" s="250">
        <v>0.3</v>
      </c>
      <c r="B116" s="250">
        <f t="shared" si="0"/>
        <v>0.92034419999999995</v>
      </c>
      <c r="C116" s="250">
        <v>0.92034419999999995</v>
      </c>
      <c r="D116" s="250">
        <f t="shared" si="1"/>
        <v>2.6793908910777895</v>
      </c>
      <c r="E116" s="250"/>
      <c r="F116" s="251">
        <v>1</v>
      </c>
      <c r="G116" s="251">
        <v>0</v>
      </c>
      <c r="H116" s="255">
        <f t="shared" si="2"/>
        <v>2.6793908910777895</v>
      </c>
      <c r="I116" s="256">
        <f t="shared" si="3"/>
        <v>0.92034419999999995</v>
      </c>
      <c r="J116" s="228"/>
      <c r="K116" s="228"/>
      <c r="L116" s="228"/>
      <c r="M116" s="228"/>
      <c r="N116" s="228"/>
    </row>
    <row r="117" spans="1:14" x14ac:dyDescent="0.2">
      <c r="A117" s="250">
        <v>0.2</v>
      </c>
      <c r="B117" s="250">
        <f t="shared" si="0"/>
        <v>1</v>
      </c>
      <c r="C117" s="250">
        <v>1</v>
      </c>
      <c r="D117" s="250">
        <f t="shared" si="1"/>
        <v>2.7083333615842586</v>
      </c>
      <c r="E117" s="250"/>
      <c r="F117" s="251">
        <v>1</v>
      </c>
      <c r="G117" s="251">
        <v>1</v>
      </c>
      <c r="H117" s="255">
        <f t="shared" si="2"/>
        <v>2.7083333615842586</v>
      </c>
      <c r="I117" s="256">
        <f t="shared" si="3"/>
        <v>1</v>
      </c>
      <c r="J117" s="228"/>
      <c r="K117" s="228"/>
      <c r="L117" s="228"/>
      <c r="M117" s="228"/>
      <c r="N117" s="228"/>
    </row>
    <row r="118" spans="1:14" x14ac:dyDescent="0.2">
      <c r="A118" s="250">
        <v>0.1</v>
      </c>
      <c r="B118" s="250">
        <f t="shared" si="0"/>
        <v>0.9203443</v>
      </c>
      <c r="C118" s="250">
        <v>0.9203443</v>
      </c>
      <c r="D118" s="250">
        <f t="shared" ref="D118:D146" si="4">EXP(LN($K$80)+ A120*($K$83))</f>
        <v>2.7375884653096465</v>
      </c>
      <c r="E118" s="250"/>
      <c r="F118" s="251"/>
      <c r="G118" s="251"/>
      <c r="H118" s="255">
        <f t="shared" si="2"/>
        <v>2.7375884653096465</v>
      </c>
      <c r="I118" s="256">
        <f t="shared" si="3"/>
        <v>0.9203443</v>
      </c>
      <c r="J118" s="228"/>
      <c r="K118" s="228"/>
      <c r="L118" s="228"/>
      <c r="M118" s="228"/>
      <c r="N118" s="228"/>
    </row>
    <row r="119" spans="1:14" x14ac:dyDescent="0.2">
      <c r="A119" s="250">
        <v>0</v>
      </c>
      <c r="B119" s="250">
        <f t="shared" si="0"/>
        <v>0.84148049999999996</v>
      </c>
      <c r="C119" s="250">
        <v>0.84148049999999996</v>
      </c>
      <c r="D119" s="250">
        <f t="shared" si="4"/>
        <v>2.7671595792818238</v>
      </c>
      <c r="E119" s="250"/>
      <c r="F119" s="251"/>
      <c r="G119" s="251"/>
      <c r="H119" s="255">
        <f t="shared" si="2"/>
        <v>2.7671595792818238</v>
      </c>
      <c r="I119" s="256">
        <f t="shared" si="3"/>
        <v>0.84148049999999996</v>
      </c>
      <c r="J119" s="228"/>
      <c r="K119" s="228"/>
      <c r="L119" s="228"/>
      <c r="M119" s="228"/>
      <c r="N119" s="228"/>
    </row>
    <row r="120" spans="1:14" x14ac:dyDescent="0.2">
      <c r="A120" s="250">
        <v>0.1</v>
      </c>
      <c r="B120" s="250">
        <f t="shared" si="0"/>
        <v>0.76417710000000005</v>
      </c>
      <c r="C120" s="250">
        <v>0.76417710000000005</v>
      </c>
      <c r="D120" s="250">
        <f t="shared" si="4"/>
        <v>2.7970501170069269</v>
      </c>
      <c r="E120" s="250"/>
      <c r="F120" s="251"/>
      <c r="G120" s="251"/>
      <c r="H120" s="255">
        <f t="shared" si="2"/>
        <v>2.7970501170069269</v>
      </c>
      <c r="I120" s="256">
        <f t="shared" si="3"/>
        <v>0.76417710000000005</v>
      </c>
      <c r="J120" s="228"/>
      <c r="K120" s="228"/>
      <c r="L120" s="228"/>
      <c r="M120" s="228"/>
      <c r="N120" s="228"/>
    </row>
    <row r="121" spans="1:14" x14ac:dyDescent="0.2">
      <c r="A121" s="250">
        <v>0.2</v>
      </c>
      <c r="B121" s="250">
        <f t="shared" si="0"/>
        <v>0.6891564</v>
      </c>
      <c r="C121" s="250">
        <v>0.6891564</v>
      </c>
      <c r="D121" s="250">
        <f t="shared" si="4"/>
        <v>2.8272635288633907</v>
      </c>
      <c r="E121" s="250"/>
      <c r="F121" s="251"/>
      <c r="G121" s="251"/>
      <c r="H121" s="255">
        <f t="shared" si="2"/>
        <v>2.8272635288633907</v>
      </c>
      <c r="I121" s="256">
        <f t="shared" si="3"/>
        <v>0.6891564</v>
      </c>
      <c r="J121" s="228"/>
      <c r="K121" s="228"/>
      <c r="L121" s="228"/>
      <c r="M121" s="228"/>
      <c r="N121" s="228"/>
    </row>
    <row r="122" spans="1:14" x14ac:dyDescent="0.2">
      <c r="A122" s="250">
        <v>0.3</v>
      </c>
      <c r="B122" s="250">
        <f t="shared" si="0"/>
        <v>0.61707489999999998</v>
      </c>
      <c r="C122" s="250">
        <v>0.61707489999999998</v>
      </c>
      <c r="D122" s="250">
        <f t="shared" si="4"/>
        <v>2.8578033025002374</v>
      </c>
      <c r="E122" s="250"/>
      <c r="F122" s="251"/>
      <c r="G122" s="251"/>
      <c r="H122" s="255">
        <f t="shared" si="2"/>
        <v>2.8578033025002374</v>
      </c>
      <c r="I122" s="256">
        <f t="shared" si="3"/>
        <v>0.61707489999999998</v>
      </c>
      <c r="J122" s="228"/>
      <c r="K122" s="228"/>
      <c r="L122" s="228"/>
      <c r="M122" s="228"/>
      <c r="N122" s="228"/>
    </row>
    <row r="123" spans="1:14" x14ac:dyDescent="0.2">
      <c r="A123" s="250">
        <v>0.4</v>
      </c>
      <c r="B123" s="250">
        <f t="shared" si="0"/>
        <v>0.5485061</v>
      </c>
      <c r="C123" s="250">
        <v>0.5485061</v>
      </c>
      <c r="D123" s="250">
        <f t="shared" si="4"/>
        <v>2.8886729632396726</v>
      </c>
      <c r="E123" s="250"/>
      <c r="F123" s="251"/>
      <c r="G123" s="251"/>
      <c r="H123" s="255">
        <f t="shared" si="2"/>
        <v>2.8886729632396726</v>
      </c>
      <c r="I123" s="256">
        <f t="shared" si="3"/>
        <v>0.5485061</v>
      </c>
      <c r="J123" s="228"/>
      <c r="K123" s="228"/>
      <c r="L123" s="228"/>
      <c r="M123" s="228"/>
      <c r="N123" s="228"/>
    </row>
    <row r="124" spans="1:14" x14ac:dyDescent="0.2">
      <c r="A124" s="250">
        <v>0.5</v>
      </c>
      <c r="B124" s="250">
        <f t="shared" si="0"/>
        <v>0.4839271</v>
      </c>
      <c r="C124" s="250">
        <v>0.4839271</v>
      </c>
      <c r="D124" s="250">
        <f t="shared" si="4"/>
        <v>2.9198760744840233</v>
      </c>
      <c r="E124" s="250"/>
      <c r="F124" s="251"/>
      <c r="G124" s="251"/>
      <c r="H124" s="255">
        <f t="shared" si="2"/>
        <v>2.9198760744840233</v>
      </c>
      <c r="I124" s="256">
        <f t="shared" si="3"/>
        <v>0.4839271</v>
      </c>
      <c r="J124" s="228"/>
      <c r="K124" s="228"/>
      <c r="L124" s="228"/>
      <c r="M124" s="228"/>
      <c r="N124" s="228"/>
    </row>
    <row r="125" spans="1:14" x14ac:dyDescent="0.2">
      <c r="A125" s="250">
        <v>0.6</v>
      </c>
      <c r="B125" s="250">
        <f t="shared" si="0"/>
        <v>0.42371059999999999</v>
      </c>
      <c r="C125" s="250">
        <v>0.42371059999999999</v>
      </c>
      <c r="D125" s="250">
        <f t="shared" si="4"/>
        <v>2.9514162381270759</v>
      </c>
      <c r="E125" s="250"/>
      <c r="F125" s="251"/>
      <c r="G125" s="251"/>
      <c r="H125" s="255">
        <f t="shared" si="2"/>
        <v>2.9514162381270759</v>
      </c>
      <c r="I125" s="256">
        <f t="shared" si="3"/>
        <v>0.42371059999999999</v>
      </c>
      <c r="J125" s="228"/>
      <c r="K125" s="228"/>
      <c r="L125" s="228"/>
      <c r="M125" s="228"/>
      <c r="N125" s="228"/>
    </row>
    <row r="126" spans="1:14" x14ac:dyDescent="0.2">
      <c r="A126" s="250">
        <v>0.7</v>
      </c>
      <c r="B126" s="250">
        <f t="shared" si="0"/>
        <v>0.36812</v>
      </c>
      <c r="C126" s="250">
        <v>0.36812</v>
      </c>
      <c r="D126" s="250">
        <f t="shared" si="4"/>
        <v>2.9832970949698594</v>
      </c>
      <c r="E126" s="250"/>
      <c r="F126" s="251"/>
      <c r="G126" s="251"/>
      <c r="H126" s="255">
        <f t="shared" si="2"/>
        <v>2.9832970949698594</v>
      </c>
      <c r="I126" s="256">
        <f t="shared" si="3"/>
        <v>0.36812</v>
      </c>
      <c r="J126" s="228"/>
      <c r="K126" s="228"/>
      <c r="L126" s="228"/>
      <c r="M126" s="228"/>
      <c r="N126" s="228"/>
    </row>
    <row r="127" spans="1:14" x14ac:dyDescent="0.2">
      <c r="A127" s="250">
        <v>0.8</v>
      </c>
      <c r="B127" s="250">
        <f t="shared" si="0"/>
        <v>0.31731019999999999</v>
      </c>
      <c r="C127" s="250">
        <v>0.31731019999999999</v>
      </c>
      <c r="D127" s="250">
        <f t="shared" si="4"/>
        <v>3.0155223251409113</v>
      </c>
      <c r="E127" s="250"/>
      <c r="F127" s="251"/>
      <c r="G127" s="251"/>
      <c r="H127" s="255">
        <f t="shared" si="2"/>
        <v>3.0155223251409113</v>
      </c>
      <c r="I127" s="256">
        <f t="shared" si="3"/>
        <v>0.31731019999999999</v>
      </c>
      <c r="J127" s="228"/>
      <c r="K127" s="228"/>
      <c r="L127" s="228"/>
      <c r="M127" s="228"/>
      <c r="N127" s="228"/>
    </row>
    <row r="128" spans="1:14" x14ac:dyDescent="0.2">
      <c r="A128" s="250">
        <v>0.9</v>
      </c>
      <c r="B128" s="250">
        <f t="shared" si="0"/>
        <v>0.27133180000000001</v>
      </c>
      <c r="C128" s="250">
        <v>0.27133180000000001</v>
      </c>
      <c r="D128" s="250">
        <f t="shared" si="4"/>
        <v>3.0480956485210928</v>
      </c>
      <c r="E128" s="250"/>
      <c r="F128" s="251"/>
      <c r="G128" s="251"/>
      <c r="H128" s="255">
        <f t="shared" si="2"/>
        <v>3.0480956485210928</v>
      </c>
      <c r="I128" s="256">
        <f t="shared" si="3"/>
        <v>0.27133180000000001</v>
      </c>
      <c r="J128" s="228"/>
      <c r="K128" s="228"/>
      <c r="L128" s="228"/>
      <c r="M128" s="228"/>
      <c r="N128" s="228"/>
    </row>
    <row r="129" spans="1:14" x14ac:dyDescent="0.2">
      <c r="A129" s="250">
        <v>1</v>
      </c>
      <c r="B129" s="250">
        <f t="shared" si="0"/>
        <v>0.23013900000000001</v>
      </c>
      <c r="C129" s="250">
        <v>0.23013900000000001</v>
      </c>
      <c r="D129" s="250">
        <f t="shared" si="4"/>
        <v>3.08102082517299</v>
      </c>
      <c r="E129" s="250"/>
      <c r="F129" s="251"/>
      <c r="G129" s="251"/>
      <c r="H129" s="255">
        <f t="shared" si="2"/>
        <v>3.08102082517299</v>
      </c>
      <c r="I129" s="256">
        <f t="shared" si="3"/>
        <v>0.23013900000000001</v>
      </c>
      <c r="J129" s="228"/>
      <c r="K129" s="228"/>
      <c r="L129" s="228"/>
      <c r="M129" s="228"/>
      <c r="N129" s="228"/>
    </row>
    <row r="130" spans="1:14" x14ac:dyDescent="0.2">
      <c r="A130" s="250">
        <v>1.1000000000000001</v>
      </c>
      <c r="B130" s="250">
        <f t="shared" si="0"/>
        <v>0.19360069999999999</v>
      </c>
      <c r="C130" s="250">
        <v>0.19360069999999999</v>
      </c>
      <c r="D130" s="250">
        <f t="shared" si="4"/>
        <v>3.1143016557749474</v>
      </c>
      <c r="E130" s="250"/>
      <c r="F130" s="251"/>
      <c r="G130" s="251"/>
      <c r="H130" s="255">
        <f t="shared" si="2"/>
        <v>3.1143016557749474</v>
      </c>
      <c r="I130" s="256">
        <f t="shared" si="3"/>
        <v>0.19360069999999999</v>
      </c>
      <c r="J130" s="228"/>
      <c r="K130" s="228"/>
      <c r="L130" s="228"/>
      <c r="M130" s="228"/>
      <c r="N130" s="228"/>
    </row>
    <row r="131" spans="1:14" x14ac:dyDescent="0.2">
      <c r="A131" s="250">
        <v>1.2</v>
      </c>
      <c r="B131" s="250">
        <f t="shared" si="0"/>
        <v>0.16151299999999999</v>
      </c>
      <c r="C131" s="250">
        <v>0.16151299999999999</v>
      </c>
      <c r="D131" s="250">
        <f t="shared" si="4"/>
        <v>3.1479419820597982</v>
      </c>
      <c r="E131" s="250"/>
      <c r="F131" s="251"/>
      <c r="G131" s="251"/>
      <c r="H131" s="255">
        <f t="shared" si="2"/>
        <v>3.1479419820597982</v>
      </c>
      <c r="I131" s="256">
        <f t="shared" si="3"/>
        <v>0.16151299999999999</v>
      </c>
      <c r="J131" s="75"/>
      <c r="K131" s="75"/>
      <c r="L131" s="75"/>
      <c r="M131" s="75"/>
      <c r="N131" s="75"/>
    </row>
    <row r="132" spans="1:14" x14ac:dyDescent="0.2">
      <c r="A132" s="250">
        <v>1.3</v>
      </c>
      <c r="B132" s="250">
        <f t="shared" si="0"/>
        <v>0.13361410000000001</v>
      </c>
      <c r="C132" s="250">
        <v>0.13361410000000001</v>
      </c>
      <c r="D132" s="250">
        <f t="shared" si="4"/>
        <v>3.1819456872583309</v>
      </c>
      <c r="E132" s="250"/>
      <c r="F132" s="251"/>
      <c r="G132" s="251"/>
      <c r="H132" s="255">
        <f t="shared" si="2"/>
        <v>3.1819456872583309</v>
      </c>
      <c r="I132" s="256">
        <f t="shared" si="3"/>
        <v>0.13361410000000001</v>
      </c>
      <c r="J132" s="75"/>
      <c r="K132" s="75"/>
      <c r="L132" s="75"/>
      <c r="M132" s="75"/>
      <c r="N132" s="75"/>
    </row>
    <row r="133" spans="1:14" x14ac:dyDescent="0.2">
      <c r="A133" s="250">
        <v>1.4</v>
      </c>
      <c r="B133" s="250">
        <f t="shared" si="0"/>
        <v>0.10959820000000001</v>
      </c>
      <c r="C133" s="250">
        <v>0.10959820000000001</v>
      </c>
      <c r="D133" s="250">
        <f t="shared" si="4"/>
        <v>3.2163166965475423</v>
      </c>
      <c r="E133" s="250"/>
      <c r="F133" s="251"/>
      <c r="G133" s="251"/>
      <c r="H133" s="255">
        <f t="shared" si="2"/>
        <v>3.2163166965475423</v>
      </c>
      <c r="I133" s="256">
        <f t="shared" si="3"/>
        <v>0.10959820000000001</v>
      </c>
      <c r="J133" s="75"/>
      <c r="K133" s="75"/>
      <c r="L133" s="75"/>
      <c r="M133" s="75"/>
      <c r="N133" s="75"/>
    </row>
    <row r="134" spans="1:14" x14ac:dyDescent="0.2">
      <c r="A134" s="250">
        <v>1.5</v>
      </c>
      <c r="B134" s="250">
        <f t="shared" si="0"/>
        <v>8.9130600000000004E-2</v>
      </c>
      <c r="C134" s="250">
        <v>8.9130600000000004E-2</v>
      </c>
      <c r="D134" s="250">
        <f t="shared" si="4"/>
        <v>3.2510589775037362</v>
      </c>
      <c r="E134" s="250"/>
      <c r="F134" s="251"/>
      <c r="G134" s="251"/>
      <c r="H134" s="255">
        <f t="shared" si="2"/>
        <v>3.2510589775037362</v>
      </c>
      <c r="I134" s="256">
        <f t="shared" si="3"/>
        <v>8.9130600000000004E-2</v>
      </c>
      <c r="J134" s="75"/>
      <c r="K134" s="75"/>
      <c r="L134" s="75"/>
      <c r="M134" s="75"/>
      <c r="N134" s="75"/>
    </row>
    <row r="135" spans="1:14" x14ac:dyDescent="0.2">
      <c r="A135" s="250">
        <v>1.6</v>
      </c>
      <c r="B135" s="250">
        <f t="shared" si="0"/>
        <v>7.1860300000000002E-2</v>
      </c>
      <c r="C135" s="250">
        <v>7.1860300000000002E-2</v>
      </c>
      <c r="D135" s="250">
        <f t="shared" si="4"/>
        <v>3.2861765405605192</v>
      </c>
      <c r="E135" s="250"/>
      <c r="F135" s="251"/>
      <c r="G135" s="251"/>
      <c r="H135" s="255">
        <f t="shared" si="2"/>
        <v>3.2861765405605192</v>
      </c>
      <c r="I135" s="256">
        <f t="shared" si="3"/>
        <v>7.1860300000000002E-2</v>
      </c>
      <c r="J135" s="75"/>
      <c r="K135" s="75"/>
      <c r="L135" s="75"/>
      <c r="M135" s="75"/>
      <c r="N135" s="75"/>
    </row>
    <row r="136" spans="1:14" x14ac:dyDescent="0.2">
      <c r="A136" s="250">
        <v>1.7</v>
      </c>
      <c r="B136" s="250">
        <f t="shared" si="0"/>
        <v>5.7432700000000003E-2</v>
      </c>
      <c r="C136" s="250">
        <v>5.7432700000000003E-2</v>
      </c>
      <c r="D136" s="250">
        <f t="shared" si="4"/>
        <v>3.3216734394717369</v>
      </c>
      <c r="E136" s="250"/>
      <c r="F136" s="251"/>
      <c r="G136" s="251"/>
      <c r="H136" s="255">
        <f t="shared" si="2"/>
        <v>3.3216734394717369</v>
      </c>
      <c r="I136" s="256">
        <f t="shared" si="3"/>
        <v>5.7432700000000003E-2</v>
      </c>
      <c r="J136" s="75"/>
      <c r="K136" s="75"/>
      <c r="L136" s="75"/>
      <c r="M136" s="75"/>
      <c r="N136" s="75"/>
    </row>
    <row r="137" spans="1:14" x14ac:dyDescent="0.2">
      <c r="A137" s="250">
        <v>1.8</v>
      </c>
      <c r="B137" s="250">
        <f t="shared" si="0"/>
        <v>4.5499900000000003E-2</v>
      </c>
      <c r="C137" s="250">
        <v>4.5499900000000003E-2</v>
      </c>
      <c r="D137" s="250">
        <f t="shared" si="4"/>
        <v>3.3575537717794131</v>
      </c>
      <c r="E137" s="250"/>
      <c r="F137" s="251"/>
      <c r="G137" s="251"/>
      <c r="H137" s="255">
        <f t="shared" si="2"/>
        <v>3.3575537717794131</v>
      </c>
      <c r="I137" s="256">
        <f t="shared" si="3"/>
        <v>4.5499900000000003E-2</v>
      </c>
      <c r="J137" s="75"/>
      <c r="K137" s="75"/>
      <c r="L137" s="75"/>
      <c r="M137" s="75"/>
      <c r="N137" s="75"/>
    </row>
    <row r="138" spans="1:14" x14ac:dyDescent="0.2">
      <c r="A138" s="250">
        <v>1.9</v>
      </c>
      <c r="B138" s="250">
        <f t="shared" si="0"/>
        <v>3.5728500000000003E-2</v>
      </c>
      <c r="C138" s="250">
        <v>3.5728500000000003E-2</v>
      </c>
      <c r="D138" s="250">
        <f t="shared" si="4"/>
        <v>3.3938216792867504</v>
      </c>
      <c r="E138" s="250"/>
      <c r="F138" s="251"/>
      <c r="G138" s="251"/>
      <c r="H138" s="255">
        <f t="shared" si="2"/>
        <v>3.3938216792867504</v>
      </c>
      <c r="I138" s="256">
        <f t="shared" si="3"/>
        <v>3.5728500000000003E-2</v>
      </c>
      <c r="J138" s="75"/>
      <c r="K138" s="75"/>
      <c r="L138" s="75"/>
      <c r="M138" s="75"/>
      <c r="N138" s="75"/>
    </row>
    <row r="139" spans="1:14" x14ac:dyDescent="0.2">
      <c r="A139" s="250">
        <v>2</v>
      </c>
      <c r="B139" s="250">
        <f t="shared" si="0"/>
        <v>2.7806500000000001E-2</v>
      </c>
      <c r="C139" s="250">
        <v>2.7806500000000001E-2</v>
      </c>
      <c r="D139" s="250">
        <f t="shared" si="4"/>
        <v>3.4304813485362278</v>
      </c>
      <c r="E139" s="250"/>
      <c r="F139" s="251"/>
      <c r="G139" s="251"/>
      <c r="H139" s="255">
        <f t="shared" si="2"/>
        <v>3.4304813485362278</v>
      </c>
      <c r="I139" s="256">
        <f t="shared" si="3"/>
        <v>2.7806500000000001E-2</v>
      </c>
      <c r="J139" s="75"/>
      <c r="K139" s="75"/>
      <c r="L139" s="75"/>
      <c r="M139" s="75"/>
      <c r="N139" s="75"/>
    </row>
    <row r="140" spans="1:14" x14ac:dyDescent="0.2">
      <c r="A140" s="250">
        <v>2.1</v>
      </c>
      <c r="B140" s="250">
        <f t="shared" si="0"/>
        <v>2.14478E-2</v>
      </c>
      <c r="C140" s="250">
        <v>2.14478E-2</v>
      </c>
      <c r="D140" s="250">
        <f t="shared" si="4"/>
        <v>3.4675370112928716</v>
      </c>
      <c r="E140" s="250"/>
      <c r="F140" s="251"/>
      <c r="G140" s="251"/>
      <c r="H140" s="255">
        <f t="shared" si="2"/>
        <v>3.4675370112928716</v>
      </c>
      <c r="I140" s="256">
        <f t="shared" si="3"/>
        <v>2.14478E-2</v>
      </c>
      <c r="J140" s="75"/>
      <c r="K140" s="75"/>
      <c r="L140" s="75"/>
      <c r="M140" s="75"/>
      <c r="N140" s="75"/>
    </row>
    <row r="141" spans="1:14" x14ac:dyDescent="0.2">
      <c r="A141" s="250">
        <v>2.2000000000000002</v>
      </c>
      <c r="B141" s="250">
        <f t="shared" si="0"/>
        <v>1.6394700000000002E-2</v>
      </c>
      <c r="C141" s="250">
        <v>1.6394700000000002E-2</v>
      </c>
      <c r="D141" s="250">
        <f t="shared" si="4"/>
        <v>3.5049929450327473</v>
      </c>
      <c r="E141" s="250"/>
      <c r="F141" s="251"/>
      <c r="G141" s="251"/>
      <c r="H141" s="255">
        <f t="shared" si="2"/>
        <v>3.5049929450327473</v>
      </c>
      <c r="I141" s="256">
        <f t="shared" si="3"/>
        <v>1.6394700000000002E-2</v>
      </c>
      <c r="J141" s="75"/>
      <c r="K141" s="75"/>
      <c r="L141" s="75"/>
      <c r="M141" s="75"/>
      <c r="N141" s="75"/>
    </row>
    <row r="142" spans="1:14" x14ac:dyDescent="0.2">
      <c r="A142" s="250">
        <v>2.2999999999999998</v>
      </c>
      <c r="B142" s="250">
        <f t="shared" si="0"/>
        <v>1.24189E-2</v>
      </c>
      <c r="C142" s="250">
        <v>1.24189E-2</v>
      </c>
      <c r="D142" s="250">
        <f t="shared" si="4"/>
        <v>3.5428534734367192</v>
      </c>
      <c r="E142" s="250"/>
      <c r="F142" s="251"/>
      <c r="G142" s="251"/>
      <c r="H142" s="255">
        <f t="shared" si="2"/>
        <v>3.5428534734367192</v>
      </c>
      <c r="I142" s="256">
        <f t="shared" si="3"/>
        <v>1.24189E-2</v>
      </c>
      <c r="J142" s="75"/>
      <c r="K142" s="75"/>
      <c r="L142" s="75"/>
      <c r="M142" s="75"/>
      <c r="N142" s="75"/>
    </row>
    <row r="143" spans="1:14" x14ac:dyDescent="0.2">
      <c r="A143" s="250">
        <v>2.4</v>
      </c>
      <c r="B143" s="250">
        <f t="shared" si="0"/>
        <v>9.3220000000000004E-3</v>
      </c>
      <c r="C143" s="250">
        <v>9.3220000000000004E-3</v>
      </c>
      <c r="D143" s="250">
        <f t="shared" si="4"/>
        <v>3.581122966889553</v>
      </c>
      <c r="E143" s="250"/>
      <c r="F143" s="251"/>
      <c r="G143" s="251"/>
      <c r="H143" s="255">
        <f t="shared" si="2"/>
        <v>3.581122966889553</v>
      </c>
      <c r="I143" s="256">
        <f t="shared" si="3"/>
        <v>9.3220000000000004E-3</v>
      </c>
      <c r="J143" s="75"/>
      <c r="K143" s="75"/>
      <c r="L143" s="75"/>
      <c r="M143" s="75"/>
      <c r="N143" s="75"/>
    </row>
    <row r="144" spans="1:14" x14ac:dyDescent="0.2">
      <c r="A144" s="250">
        <v>2.5</v>
      </c>
      <c r="B144" s="250">
        <f t="shared" si="0"/>
        <v>6.9335000000000004E-3</v>
      </c>
      <c r="C144" s="250">
        <v>6.9335000000000004E-3</v>
      </c>
      <c r="D144" s="250">
        <f t="shared" si="4"/>
        <v>3.6198058429844067</v>
      </c>
      <c r="E144" s="250"/>
      <c r="F144" s="251"/>
      <c r="G144" s="251"/>
      <c r="H144" s="255">
        <f t="shared" si="2"/>
        <v>3.6198058429844067</v>
      </c>
      <c r="I144" s="256">
        <f t="shared" si="3"/>
        <v>6.9335000000000004E-3</v>
      </c>
      <c r="J144" s="75"/>
      <c r="K144" s="75"/>
      <c r="L144" s="75"/>
      <c r="M144" s="75"/>
      <c r="N144" s="75"/>
    </row>
    <row r="145" spans="1:14" x14ac:dyDescent="0.2">
      <c r="A145" s="250">
        <v>2.6</v>
      </c>
      <c r="B145" s="250">
        <f t="shared" si="0"/>
        <v>5.1098999999999997E-3</v>
      </c>
      <c r="C145" s="250">
        <v>5.1098999999999997E-3</v>
      </c>
      <c r="D145" s="250">
        <f t="shared" si="4"/>
        <v>3.658906567032767</v>
      </c>
      <c r="E145" s="250"/>
      <c r="F145" s="251"/>
      <c r="G145" s="251"/>
      <c r="H145" s="255">
        <f t="shared" si="2"/>
        <v>3.658906567032767</v>
      </c>
      <c r="I145" s="256">
        <f t="shared" si="3"/>
        <v>5.1098999999999997E-3</v>
      </c>
      <c r="J145" s="75"/>
      <c r="K145" s="75"/>
      <c r="L145" s="75"/>
      <c r="M145" s="75"/>
      <c r="N145" s="75"/>
    </row>
    <row r="146" spans="1:14" x14ac:dyDescent="0.2">
      <c r="A146" s="250">
        <v>2.7</v>
      </c>
      <c r="B146" s="250">
        <f t="shared" si="0"/>
        <v>3.7312000000000001E-3</v>
      </c>
      <c r="C146" s="250">
        <v>3.7312000000000001E-3</v>
      </c>
      <c r="D146" s="250">
        <f t="shared" si="4"/>
        <v>3.6984296525798981</v>
      </c>
      <c r="E146" s="250"/>
      <c r="F146" s="251"/>
      <c r="G146" s="251"/>
      <c r="H146" s="255">
        <f t="shared" si="2"/>
        <v>3.6984296525798981</v>
      </c>
      <c r="I146" s="256">
        <f t="shared" si="3"/>
        <v>3.7312000000000001E-3</v>
      </c>
      <c r="J146" s="75"/>
      <c r="K146" s="75"/>
      <c r="L146" s="75"/>
      <c r="M146" s="75"/>
      <c r="N146" s="75"/>
    </row>
    <row r="147" spans="1:14" x14ac:dyDescent="0.2">
      <c r="A147" s="250">
        <v>2.8</v>
      </c>
    </row>
    <row r="148" spans="1:14" x14ac:dyDescent="0.2">
      <c r="A148" s="250">
        <v>2.9</v>
      </c>
    </row>
  </sheetData>
  <sheetProtection password="C774" sheet="1"/>
  <mergeCells count="7">
    <mergeCell ref="L1:N1"/>
    <mergeCell ref="I74:N74"/>
    <mergeCell ref="D86:E86"/>
    <mergeCell ref="E16:J17"/>
    <mergeCell ref="A1:D1"/>
    <mergeCell ref="D24:E24"/>
    <mergeCell ref="A24:C24"/>
  </mergeCells>
  <phoneticPr fontId="0" type="noConversion"/>
  <conditionalFormatting sqref="I76:K77">
    <cfRule type="cellIs" dxfId="1" priority="1" stopIfTrue="1" operator="lessThanOrEqual">
      <formula>0</formula>
    </cfRule>
  </conditionalFormatting>
  <dataValidations count="3">
    <dataValidation type="decimal" operator="greaterThanOrEqual" allowBlank="1" showInputMessage="1" showErrorMessage="1" sqref="I76">
      <formula1>0</formula1>
    </dataValidation>
    <dataValidation type="custom" allowBlank="1" showInputMessage="1" showErrorMessage="1" error="Enter a value greater than the lower bound" sqref="I77:K77">
      <formula1 xml:space="preserve"> SUM(I77) - SUM(#REF!) &gt;0</formula1>
    </dataValidation>
    <dataValidation type="list" allowBlank="1" showInputMessage="1" showErrorMessage="1" sqref="E11">
      <formula1>$S$2:$S$5</formula1>
    </dataValidation>
  </dataValidations>
  <hyperlinks>
    <hyperlink ref="G1" location="'Main Menu'!A1" display="Main Menu"/>
    <hyperlink ref="E18" r:id="rId1"/>
    <hyperlink ref="G23" location="'Strat Case-Control (Rothman)'!A1" display="Strat. Case-Control (Rothman)"/>
  </hyperlinks>
  <pageMargins left="0.75" right="0.75" top="1" bottom="1" header="0.5" footer="0.5"/>
  <pageSetup orientation="portrait" horizontalDpi="300" verticalDpi="300"/>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79"/>
  <sheetViews>
    <sheetView workbookViewId="0">
      <selection activeCell="K4" sqref="K4:K21"/>
    </sheetView>
  </sheetViews>
  <sheetFormatPr defaultColWidth="8.7109375" defaultRowHeight="12.75" x14ac:dyDescent="0.2"/>
  <cols>
    <col min="2" max="2" width="15.42578125" style="168" customWidth="1"/>
    <col min="3" max="3" width="10.140625" customWidth="1"/>
    <col min="4" max="4" width="14.140625" style="168" customWidth="1"/>
    <col min="5" max="5" width="11.7109375" style="168" customWidth="1"/>
    <col min="6" max="6" width="16.28515625" customWidth="1"/>
    <col min="7" max="7" width="14" customWidth="1"/>
    <col min="8" max="8" width="20" customWidth="1"/>
    <col min="9" max="9" width="11.42578125" customWidth="1"/>
    <col min="10" max="10" width="7" customWidth="1"/>
    <col min="11" max="11" width="8.42578125" customWidth="1"/>
    <col min="12" max="12" width="8.28515625" customWidth="1"/>
    <col min="14" max="14" width="15.140625" customWidth="1"/>
  </cols>
  <sheetData>
    <row r="1" spans="2:14" ht="24.75" customHeight="1" x14ac:dyDescent="0.25">
      <c r="B1" s="428" t="s">
        <v>287</v>
      </c>
      <c r="C1" s="429"/>
      <c r="D1" s="429"/>
      <c r="E1" s="429"/>
      <c r="F1" s="429"/>
      <c r="G1" s="429"/>
      <c r="H1" s="429"/>
      <c r="I1" s="430"/>
      <c r="J1" s="430"/>
      <c r="K1" s="431"/>
    </row>
    <row r="2" spans="2:14" ht="15" x14ac:dyDescent="0.2">
      <c r="B2"/>
      <c r="C2" s="259"/>
      <c r="J2" s="58"/>
      <c r="L2" s="439" t="s">
        <v>306</v>
      </c>
      <c r="M2" s="438" t="s">
        <v>309</v>
      </c>
      <c r="N2" s="438"/>
    </row>
    <row r="3" spans="2:14" x14ac:dyDescent="0.2">
      <c r="B3" s="41"/>
      <c r="C3" s="41"/>
      <c r="K3" s="41" t="s">
        <v>305</v>
      </c>
      <c r="L3" s="440"/>
      <c r="M3" s="41" t="s">
        <v>307</v>
      </c>
      <c r="N3" s="41" t="s">
        <v>308</v>
      </c>
    </row>
    <row r="4" spans="2:14" x14ac:dyDescent="0.2">
      <c r="B4"/>
      <c r="K4">
        <f>11/1000</f>
        <v>1.0999999999999999E-2</v>
      </c>
      <c r="L4">
        <v>1</v>
      </c>
      <c r="M4" s="62">
        <f>L4*K4*1000</f>
        <v>11</v>
      </c>
      <c r="N4" s="62">
        <f>(1-EXP(-K4*L4))*1000</f>
        <v>10.939721224631271</v>
      </c>
    </row>
    <row r="5" spans="2:14" x14ac:dyDescent="0.2">
      <c r="B5"/>
      <c r="K5">
        <f t="shared" ref="K5:K21" si="0">11/1000</f>
        <v>1.0999999999999999E-2</v>
      </c>
      <c r="L5">
        <v>2</v>
      </c>
      <c r="M5" s="62">
        <f t="shared" ref="M5:M21" si="1">L5*K5*1000</f>
        <v>22</v>
      </c>
      <c r="N5" s="62">
        <f t="shared" ref="N5:N21" si="2">(1-EXP(-K5*L5))*1000</f>
        <v>21.75976494878995</v>
      </c>
    </row>
    <row r="6" spans="2:14" x14ac:dyDescent="0.2">
      <c r="B6"/>
      <c r="K6">
        <f t="shared" si="0"/>
        <v>1.0999999999999999E-2</v>
      </c>
      <c r="L6">
        <v>3</v>
      </c>
      <c r="M6" s="62">
        <f t="shared" si="1"/>
        <v>33</v>
      </c>
      <c r="N6" s="62">
        <f t="shared" si="2"/>
        <v>32.461440410967988</v>
      </c>
    </row>
    <row r="7" spans="2:14" x14ac:dyDescent="0.2">
      <c r="B7"/>
      <c r="K7">
        <f t="shared" si="0"/>
        <v>1.0999999999999999E-2</v>
      </c>
      <c r="L7">
        <v>4</v>
      </c>
      <c r="M7" s="62">
        <f t="shared" si="1"/>
        <v>44</v>
      </c>
      <c r="N7" s="62">
        <f t="shared" si="2"/>
        <v>43.046042526953322</v>
      </c>
    </row>
    <row r="8" spans="2:14" x14ac:dyDescent="0.2">
      <c r="B8"/>
      <c r="K8">
        <f t="shared" si="0"/>
        <v>1.0999999999999999E-2</v>
      </c>
      <c r="L8">
        <v>5</v>
      </c>
      <c r="M8" s="62">
        <f t="shared" si="1"/>
        <v>54.999999999999993</v>
      </c>
      <c r="N8" s="62">
        <f t="shared" si="2"/>
        <v>53.514852046516069</v>
      </c>
    </row>
    <row r="9" spans="2:14" x14ac:dyDescent="0.2">
      <c r="B9"/>
      <c r="K9">
        <f t="shared" si="0"/>
        <v>1.0999999999999999E-2</v>
      </c>
      <c r="L9">
        <v>6</v>
      </c>
      <c r="M9" s="62">
        <f t="shared" si="1"/>
        <v>66</v>
      </c>
      <c r="N9" s="62">
        <f t="shared" si="2"/>
        <v>63.869135708381151</v>
      </c>
    </row>
    <row r="10" spans="2:14" x14ac:dyDescent="0.2">
      <c r="B10"/>
      <c r="K10">
        <f t="shared" si="0"/>
        <v>1.0999999999999999E-2</v>
      </c>
      <c r="L10">
        <v>7</v>
      </c>
      <c r="M10" s="62">
        <f t="shared" si="1"/>
        <v>77</v>
      </c>
      <c r="N10" s="62">
        <f t="shared" si="2"/>
        <v>74.110146393504664</v>
      </c>
    </row>
    <row r="11" spans="2:14" x14ac:dyDescent="0.2">
      <c r="B11"/>
      <c r="K11">
        <f t="shared" si="0"/>
        <v>1.0999999999999999E-2</v>
      </c>
      <c r="L11">
        <v>8</v>
      </c>
      <c r="M11" s="62">
        <f t="shared" si="1"/>
        <v>88</v>
      </c>
      <c r="N11" s="62">
        <f t="shared" si="2"/>
        <v>84.239123276674377</v>
      </c>
    </row>
    <row r="12" spans="2:14" x14ac:dyDescent="0.2">
      <c r="B12"/>
      <c r="K12">
        <f t="shared" si="0"/>
        <v>1.0999999999999999E-2</v>
      </c>
      <c r="L12">
        <v>9</v>
      </c>
      <c r="M12" s="62">
        <f t="shared" si="1"/>
        <v>98.999999999999986</v>
      </c>
      <c r="N12" s="62">
        <f t="shared" si="2"/>
        <v>94.257291976451498</v>
      </c>
    </row>
    <row r="13" spans="2:14" x14ac:dyDescent="0.2">
      <c r="B13"/>
      <c r="K13">
        <f t="shared" si="0"/>
        <v>1.0999999999999999E-2</v>
      </c>
      <c r="L13">
        <v>10</v>
      </c>
      <c r="M13" s="62">
        <f t="shared" si="1"/>
        <v>109.99999999999999</v>
      </c>
      <c r="N13" s="62">
        <f t="shared" si="2"/>
        <v>104.16586470347178</v>
      </c>
    </row>
    <row r="14" spans="2:14" x14ac:dyDescent="0.2">
      <c r="B14"/>
      <c r="K14">
        <f t="shared" si="0"/>
        <v>1.0999999999999999E-2</v>
      </c>
      <c r="L14">
        <v>15</v>
      </c>
      <c r="M14" s="62">
        <f t="shared" si="1"/>
        <v>164.99999999999997</v>
      </c>
      <c r="N14" s="62">
        <f t="shared" si="2"/>
        <v>152.10629591208414</v>
      </c>
    </row>
    <row r="15" spans="2:14" x14ac:dyDescent="0.2">
      <c r="B15"/>
      <c r="K15">
        <f t="shared" si="0"/>
        <v>1.0999999999999999E-2</v>
      </c>
      <c r="L15">
        <v>20</v>
      </c>
      <c r="M15" s="62">
        <f t="shared" si="1"/>
        <v>219.99999999999997</v>
      </c>
      <c r="N15" s="62">
        <f t="shared" si="2"/>
        <v>197.48120203752151</v>
      </c>
    </row>
    <row r="16" spans="2:14" x14ac:dyDescent="0.2">
      <c r="B16"/>
      <c r="K16">
        <f t="shared" si="0"/>
        <v>1.0999999999999999E-2</v>
      </c>
      <c r="L16">
        <v>25</v>
      </c>
      <c r="M16" s="62">
        <f t="shared" si="1"/>
        <v>274.99999999999994</v>
      </c>
      <c r="N16" s="62">
        <f t="shared" si="2"/>
        <v>240.42787677503154</v>
      </c>
    </row>
    <row r="17" spans="2:14" x14ac:dyDescent="0.2">
      <c r="B17"/>
      <c r="K17">
        <f t="shared" si="0"/>
        <v>1.0999999999999999E-2</v>
      </c>
      <c r="L17">
        <v>30</v>
      </c>
      <c r="M17" s="62">
        <f t="shared" si="1"/>
        <v>329.99999999999994</v>
      </c>
      <c r="N17" s="62">
        <f t="shared" si="2"/>
        <v>281.07626656807383</v>
      </c>
    </row>
    <row r="18" spans="2:14" x14ac:dyDescent="0.2">
      <c r="B18"/>
      <c r="K18">
        <f t="shared" si="0"/>
        <v>1.0999999999999999E-2</v>
      </c>
      <c r="L18">
        <v>35</v>
      </c>
      <c r="M18" s="62">
        <f t="shared" si="1"/>
        <v>384.99999999999994</v>
      </c>
      <c r="N18" s="62">
        <f t="shared" si="2"/>
        <v>319.54936379541232</v>
      </c>
    </row>
    <row r="19" spans="2:14" x14ac:dyDescent="0.2">
      <c r="B19"/>
      <c r="K19">
        <f t="shared" si="0"/>
        <v>1.0999999999999999E-2</v>
      </c>
      <c r="L19">
        <v>40</v>
      </c>
      <c r="M19" s="62">
        <f t="shared" si="1"/>
        <v>439.99999999999994</v>
      </c>
      <c r="N19" s="62">
        <f t="shared" si="2"/>
        <v>355.96357891685858</v>
      </c>
    </row>
    <row r="20" spans="2:14" x14ac:dyDescent="0.2">
      <c r="B20"/>
      <c r="K20">
        <f t="shared" si="0"/>
        <v>1.0999999999999999E-2</v>
      </c>
      <c r="L20">
        <v>45</v>
      </c>
      <c r="M20" s="62">
        <f t="shared" si="1"/>
        <v>495</v>
      </c>
      <c r="N20" s="62">
        <f t="shared" si="2"/>
        <v>390.42909270369074</v>
      </c>
    </row>
    <row r="21" spans="2:14" x14ac:dyDescent="0.2">
      <c r="B21"/>
      <c r="K21">
        <f t="shared" si="0"/>
        <v>1.0999999999999999E-2</v>
      </c>
      <c r="L21">
        <v>50</v>
      </c>
      <c r="M21" s="62">
        <f t="shared" si="1"/>
        <v>549.99999999999989</v>
      </c>
      <c r="N21" s="62">
        <f t="shared" si="2"/>
        <v>423.05018961951322</v>
      </c>
    </row>
    <row r="22" spans="2:14" ht="14.25" customHeight="1" x14ac:dyDescent="0.25">
      <c r="B22" s="234"/>
      <c r="C22" s="229"/>
      <c r="D22" s="234"/>
      <c r="E22" s="234"/>
      <c r="F22" s="229"/>
      <c r="G22" s="229"/>
      <c r="H22" s="229"/>
      <c r="I22" s="230"/>
      <c r="J22" s="230"/>
      <c r="K22" s="230"/>
    </row>
    <row r="23" spans="2:14" ht="14.25" customHeight="1" x14ac:dyDescent="0.25">
      <c r="B23" s="234"/>
      <c r="C23" s="229"/>
      <c r="D23" s="234"/>
      <c r="E23" s="234"/>
      <c r="F23" s="229"/>
      <c r="G23" s="229"/>
      <c r="H23" s="229"/>
      <c r="I23" s="230"/>
      <c r="J23" s="230"/>
      <c r="K23" s="230"/>
    </row>
    <row r="24" spans="2:14" ht="14.25" customHeight="1" x14ac:dyDescent="0.25">
      <c r="B24" s="234"/>
      <c r="C24" s="229"/>
      <c r="D24" s="234"/>
      <c r="E24" s="234"/>
      <c r="F24" s="229"/>
      <c r="G24" s="229"/>
      <c r="H24" s="229"/>
      <c r="I24" s="230"/>
      <c r="J24" s="230"/>
      <c r="K24" s="230"/>
    </row>
    <row r="25" spans="2:14" ht="14.25" customHeight="1" x14ac:dyDescent="0.25">
      <c r="B25" s="234"/>
      <c r="C25" s="229"/>
      <c r="D25" s="234"/>
      <c r="E25" s="234"/>
      <c r="F25" s="229"/>
      <c r="G25" s="229"/>
      <c r="H25" s="229"/>
      <c r="I25" s="230"/>
      <c r="J25" s="230"/>
      <c r="K25" s="230"/>
    </row>
    <row r="26" spans="2:14" ht="14.25" customHeight="1" x14ac:dyDescent="0.25">
      <c r="B26" s="234"/>
      <c r="C26" s="229"/>
      <c r="D26" s="234"/>
      <c r="E26" s="234"/>
      <c r="F26" s="229"/>
      <c r="G26" s="229"/>
      <c r="H26" s="229"/>
      <c r="I26" s="230"/>
      <c r="J26" s="230"/>
      <c r="K26" s="230"/>
    </row>
    <row r="27" spans="2:14" ht="14.25" customHeight="1" x14ac:dyDescent="0.25">
      <c r="B27" s="234"/>
      <c r="C27" s="229"/>
      <c r="D27" s="234"/>
      <c r="E27" s="234"/>
      <c r="F27" s="229"/>
      <c r="G27" s="229"/>
      <c r="H27" s="229"/>
      <c r="I27" s="230"/>
      <c r="J27" s="230"/>
      <c r="K27" s="230"/>
    </row>
    <row r="28" spans="2:14" ht="14.25" customHeight="1" x14ac:dyDescent="0.25">
      <c r="B28" s="234"/>
      <c r="C28" s="229"/>
      <c r="D28" s="234"/>
      <c r="E28" s="234"/>
      <c r="F28" s="229"/>
      <c r="G28" s="229"/>
      <c r="H28" s="229"/>
      <c r="I28" s="230"/>
      <c r="J28" s="230"/>
      <c r="K28" s="230"/>
    </row>
    <row r="29" spans="2:14" ht="14.25" customHeight="1" x14ac:dyDescent="0.25">
      <c r="B29" s="234"/>
      <c r="C29" s="229"/>
      <c r="D29" s="234"/>
      <c r="E29" s="234"/>
      <c r="F29" s="229"/>
      <c r="G29" s="229"/>
      <c r="H29" s="229"/>
      <c r="I29" s="230"/>
      <c r="J29" s="230"/>
      <c r="K29" s="230"/>
    </row>
    <row r="30" spans="2:14" ht="14.25" customHeight="1" x14ac:dyDescent="0.25">
      <c r="B30" s="234"/>
      <c r="C30" s="229"/>
      <c r="D30" s="234"/>
      <c r="E30" s="234"/>
      <c r="F30" s="229"/>
      <c r="G30" s="229"/>
      <c r="H30" s="229"/>
      <c r="I30" s="230"/>
      <c r="J30" s="230"/>
      <c r="K30" s="230"/>
    </row>
    <row r="31" spans="2:14" ht="14.25" customHeight="1" x14ac:dyDescent="0.25">
      <c r="B31" s="234"/>
      <c r="C31" s="229"/>
      <c r="D31" s="234"/>
      <c r="E31" s="234"/>
      <c r="F31" s="229"/>
      <c r="G31" s="229"/>
      <c r="H31" s="229"/>
      <c r="I31" s="230"/>
      <c r="J31" s="230"/>
      <c r="K31" s="230"/>
    </row>
    <row r="32" spans="2:14" ht="14.25" customHeight="1" x14ac:dyDescent="0.25">
      <c r="B32" s="234"/>
      <c r="C32" s="229"/>
      <c r="D32" s="234"/>
      <c r="E32" s="234"/>
      <c r="F32" s="229"/>
      <c r="G32" s="229"/>
      <c r="H32" s="229"/>
      <c r="I32" s="230"/>
      <c r="J32" s="230"/>
      <c r="K32" s="230"/>
    </row>
    <row r="33" spans="2:11" ht="14.25" customHeight="1" x14ac:dyDescent="0.25">
      <c r="B33" s="234"/>
      <c r="C33" s="229"/>
      <c r="D33" s="234"/>
      <c r="E33" s="234"/>
      <c r="F33" s="229"/>
      <c r="G33" s="229"/>
      <c r="H33" s="229"/>
      <c r="I33" s="230"/>
      <c r="J33" s="230"/>
      <c r="K33" s="230"/>
    </row>
    <row r="34" spans="2:11" ht="14.25" customHeight="1" x14ac:dyDescent="0.25">
      <c r="B34" s="234"/>
      <c r="C34" s="229"/>
      <c r="D34" s="234"/>
      <c r="E34" s="234"/>
      <c r="F34" s="229"/>
      <c r="G34" s="229"/>
      <c r="H34" s="229"/>
      <c r="I34" s="230"/>
      <c r="J34" s="230"/>
      <c r="K34" s="230"/>
    </row>
    <row r="35" spans="2:11" ht="14.25" customHeight="1" x14ac:dyDescent="0.25">
      <c r="B35" s="234"/>
      <c r="C35" s="229"/>
      <c r="D35" s="234"/>
      <c r="E35" s="234"/>
      <c r="F35" s="229"/>
      <c r="G35" s="229"/>
      <c r="H35" s="229"/>
      <c r="I35" s="230"/>
      <c r="J35" s="230"/>
      <c r="K35" s="230"/>
    </row>
    <row r="36" spans="2:11" ht="14.25" customHeight="1" x14ac:dyDescent="0.25">
      <c r="B36" s="234"/>
      <c r="C36" s="229"/>
      <c r="D36" s="234"/>
      <c r="E36" s="234"/>
      <c r="F36" s="229"/>
      <c r="G36" s="229"/>
      <c r="H36" s="229"/>
      <c r="I36" s="230"/>
      <c r="J36" s="230"/>
      <c r="K36" s="230"/>
    </row>
    <row r="37" spans="2:11" ht="14.25" customHeight="1" x14ac:dyDescent="0.25">
      <c r="B37" s="234"/>
      <c r="C37" s="229"/>
      <c r="D37" s="234"/>
      <c r="E37" s="234"/>
      <c r="F37" s="229"/>
      <c r="G37" s="229"/>
      <c r="H37" s="229"/>
      <c r="I37" s="230"/>
      <c r="J37" s="230"/>
      <c r="K37" s="230"/>
    </row>
    <row r="38" spans="2:11" ht="14.25" customHeight="1" x14ac:dyDescent="0.25">
      <c r="B38" s="234"/>
      <c r="C38" s="229"/>
      <c r="D38" s="234"/>
      <c r="E38" s="234"/>
      <c r="F38" s="229"/>
      <c r="G38" s="229"/>
      <c r="H38" s="229"/>
      <c r="I38" s="230"/>
      <c r="J38" s="230"/>
      <c r="K38" s="230"/>
    </row>
    <row r="39" spans="2:11" ht="14.25" customHeight="1" x14ac:dyDescent="0.25">
      <c r="B39" s="234"/>
      <c r="C39" s="229"/>
      <c r="D39" s="234"/>
      <c r="E39" s="234"/>
      <c r="F39" s="229"/>
      <c r="G39" s="229"/>
      <c r="H39" s="229"/>
      <c r="I39" s="230"/>
      <c r="J39" s="230"/>
      <c r="K39" s="230"/>
    </row>
    <row r="40" spans="2:11" ht="14.25" customHeight="1" x14ac:dyDescent="0.25">
      <c r="B40" s="234"/>
      <c r="C40" s="229"/>
      <c r="D40" s="234"/>
      <c r="E40" s="234"/>
      <c r="F40" s="229"/>
      <c r="G40" s="229"/>
      <c r="H40" s="229"/>
      <c r="I40" s="230"/>
      <c r="J40" s="230"/>
      <c r="K40" s="230"/>
    </row>
    <row r="41" spans="2:11" ht="14.25" customHeight="1" x14ac:dyDescent="0.25">
      <c r="B41" s="234"/>
      <c r="C41" s="229"/>
      <c r="D41" s="234"/>
      <c r="E41" s="234"/>
      <c r="F41" s="229"/>
      <c r="G41" s="229"/>
      <c r="H41" s="229"/>
      <c r="I41" s="230"/>
      <c r="J41" s="230"/>
      <c r="K41" s="230"/>
    </row>
    <row r="42" spans="2:11" ht="14.25" customHeight="1" x14ac:dyDescent="0.25">
      <c r="B42" s="234"/>
      <c r="C42" s="229"/>
      <c r="D42" s="234"/>
      <c r="E42" s="234"/>
      <c r="F42" s="229"/>
      <c r="G42" s="229"/>
      <c r="H42" s="229"/>
      <c r="I42" s="230"/>
      <c r="J42" s="230"/>
      <c r="K42" s="230"/>
    </row>
    <row r="43" spans="2:11" s="22" customFormat="1" x14ac:dyDescent="0.2">
      <c r="B43" s="235" t="s">
        <v>283</v>
      </c>
      <c r="C43" s="231" t="s">
        <v>284</v>
      </c>
      <c r="D43" s="235" t="s">
        <v>286</v>
      </c>
      <c r="E43" s="235" t="s">
        <v>285</v>
      </c>
    </row>
    <row r="44" spans="2:11" x14ac:dyDescent="0.2">
      <c r="B44" s="236">
        <v>1E-3</v>
      </c>
      <c r="C44" s="232">
        <v>8</v>
      </c>
      <c r="D44" s="236">
        <f>1-EXP(-B44*C44)</f>
        <v>7.9680851629393423E-3</v>
      </c>
      <c r="E44" s="236">
        <f>B44*C44</f>
        <v>8.0000000000000002E-3</v>
      </c>
    </row>
    <row r="45" spans="2:11" x14ac:dyDescent="0.2">
      <c r="B45" s="236">
        <v>5.0000000000000001E-3</v>
      </c>
      <c r="C45" s="232">
        <v>8</v>
      </c>
      <c r="D45" s="236">
        <f>1-EXP(-B45*C45)</f>
        <v>3.9210560847676823E-2</v>
      </c>
      <c r="E45" s="236">
        <f>B45*C45</f>
        <v>0.04</v>
      </c>
    </row>
    <row r="46" spans="2:11" x14ac:dyDescent="0.2">
      <c r="B46" s="236">
        <v>0.01</v>
      </c>
      <c r="C46" s="232">
        <v>8</v>
      </c>
      <c r="D46" s="236">
        <f>1-EXP(-B46*C46)</f>
        <v>7.6883653613364245E-2</v>
      </c>
      <c r="E46" s="236">
        <f>B46*C46</f>
        <v>0.08</v>
      </c>
    </row>
    <row r="47" spans="2:11" x14ac:dyDescent="0.2">
      <c r="B47" s="236">
        <v>0.02</v>
      </c>
      <c r="C47" s="232">
        <v>8</v>
      </c>
      <c r="D47" s="236">
        <f t="shared" ref="D47:D54" si="3">1-EXP(-B47*C47)</f>
        <v>0.14785621103378865</v>
      </c>
      <c r="E47" s="236">
        <f t="shared" ref="E47:E54" si="4">B47*C47</f>
        <v>0.16</v>
      </c>
    </row>
    <row r="48" spans="2:11" x14ac:dyDescent="0.2">
      <c r="B48" s="236">
        <v>0.04</v>
      </c>
      <c r="C48" s="232">
        <v>8</v>
      </c>
      <c r="D48" s="236">
        <f>1-EXP(-B48*C48)</f>
        <v>0.27385096292630906</v>
      </c>
      <c r="E48" s="236">
        <f>B48*C48</f>
        <v>0.32</v>
      </c>
    </row>
    <row r="49" spans="2:12" x14ac:dyDescent="0.2">
      <c r="B49" s="236">
        <v>0.06</v>
      </c>
      <c r="C49" s="232">
        <v>8</v>
      </c>
      <c r="D49" s="236">
        <f>1-EXP(-B49*C49)</f>
        <v>0.38121660819385916</v>
      </c>
      <c r="E49" s="236">
        <f>B49*C49</f>
        <v>0.48</v>
      </c>
    </row>
    <row r="50" spans="2:12" x14ac:dyDescent="0.2">
      <c r="B50" s="236">
        <v>0.08</v>
      </c>
      <c r="C50" s="232">
        <v>8</v>
      </c>
      <c r="D50" s="236">
        <f t="shared" si="3"/>
        <v>0.47270757595695145</v>
      </c>
      <c r="E50" s="236">
        <f t="shared" si="4"/>
        <v>0.64</v>
      </c>
    </row>
    <row r="51" spans="2:12" x14ac:dyDescent="0.2">
      <c r="B51" s="237">
        <v>0.1</v>
      </c>
      <c r="C51" s="53">
        <v>8</v>
      </c>
      <c r="D51" s="237">
        <f t="shared" si="3"/>
        <v>0.55067103588277844</v>
      </c>
      <c r="E51" s="237">
        <f t="shared" si="4"/>
        <v>0.8</v>
      </c>
    </row>
    <row r="52" spans="2:12" x14ac:dyDescent="0.2">
      <c r="B52" s="238">
        <f>B51*2</f>
        <v>0.2</v>
      </c>
      <c r="C52" s="233">
        <v>8</v>
      </c>
      <c r="D52" s="238">
        <f t="shared" si="3"/>
        <v>0.79810348200534464</v>
      </c>
      <c r="E52" s="238">
        <f t="shared" si="4"/>
        <v>1.6</v>
      </c>
    </row>
    <row r="53" spans="2:12" x14ac:dyDescent="0.2">
      <c r="B53" s="238">
        <f>B52*2</f>
        <v>0.4</v>
      </c>
      <c r="C53" s="233">
        <v>8</v>
      </c>
      <c r="D53" s="238">
        <f t="shared" si="3"/>
        <v>0.95923779602163384</v>
      </c>
      <c r="E53" s="238">
        <f t="shared" si="4"/>
        <v>3.2</v>
      </c>
    </row>
    <row r="54" spans="2:12" x14ac:dyDescent="0.2">
      <c r="B54" s="238">
        <f>B53*2</f>
        <v>0.8</v>
      </c>
      <c r="C54" s="233">
        <v>8</v>
      </c>
      <c r="D54" s="238">
        <f t="shared" si="3"/>
        <v>0.99833844272682604</v>
      </c>
      <c r="E54" s="238">
        <f t="shared" si="4"/>
        <v>6.4</v>
      </c>
    </row>
    <row r="60" spans="2:12" x14ac:dyDescent="0.2">
      <c r="B60" s="432" t="s">
        <v>289</v>
      </c>
      <c r="C60" s="433"/>
      <c r="D60" s="434"/>
      <c r="E60" s="435"/>
      <c r="I60" s="436" t="s">
        <v>288</v>
      </c>
      <c r="J60" s="433"/>
      <c r="K60" s="433"/>
      <c r="L60" s="437"/>
    </row>
    <row r="61" spans="2:12" x14ac:dyDescent="0.2">
      <c r="B61" s="235" t="s">
        <v>283</v>
      </c>
      <c r="C61" s="231" t="s">
        <v>284</v>
      </c>
      <c r="D61" s="235" t="s">
        <v>286</v>
      </c>
      <c r="E61" s="235" t="s">
        <v>285</v>
      </c>
      <c r="I61" s="235" t="s">
        <v>283</v>
      </c>
      <c r="J61" s="231" t="s">
        <v>284</v>
      </c>
      <c r="K61" s="235" t="s">
        <v>286</v>
      </c>
      <c r="L61" s="235" t="s">
        <v>285</v>
      </c>
    </row>
    <row r="62" spans="2:12" x14ac:dyDescent="0.2">
      <c r="B62" s="236">
        <v>0.01</v>
      </c>
      <c r="C62" s="232">
        <v>1</v>
      </c>
      <c r="D62" s="236">
        <f>1-EXP(-B62*C62)</f>
        <v>9.9501662508318933E-3</v>
      </c>
      <c r="E62" s="236">
        <f>B62*C62</f>
        <v>0.01</v>
      </c>
      <c r="I62" s="236">
        <v>1E-3</v>
      </c>
      <c r="J62" s="232">
        <v>1</v>
      </c>
      <c r="K62" s="236">
        <f>1-EXP(-I62*J62)</f>
        <v>9.9950016662497809E-4</v>
      </c>
      <c r="L62" s="236">
        <f>I62*J62</f>
        <v>1E-3</v>
      </c>
    </row>
    <row r="63" spans="2:12" x14ac:dyDescent="0.2">
      <c r="B63" s="236">
        <v>0.01</v>
      </c>
      <c r="C63" s="232">
        <v>2</v>
      </c>
      <c r="D63" s="236">
        <f t="shared" ref="D63:D72" si="5">1-EXP(-B63*C63)</f>
        <v>1.9801326693244747E-2</v>
      </c>
      <c r="E63" s="236">
        <f t="shared" ref="E63:E72" si="6">B63*C63</f>
        <v>0.02</v>
      </c>
      <c r="I63" s="236">
        <v>1E-3</v>
      </c>
      <c r="J63" s="232">
        <v>2</v>
      </c>
      <c r="K63" s="236">
        <f t="shared" ref="K63:K79" si="7">1-EXP(-I63*J63)</f>
        <v>1.998001332666921E-3</v>
      </c>
      <c r="L63" s="236">
        <f t="shared" ref="L63:L79" si="8">I63*J63</f>
        <v>2E-3</v>
      </c>
    </row>
    <row r="64" spans="2:12" x14ac:dyDescent="0.2">
      <c r="B64" s="236">
        <v>0.01</v>
      </c>
      <c r="C64" s="232">
        <v>3</v>
      </c>
      <c r="D64" s="236">
        <f t="shared" si="5"/>
        <v>2.9554466451491845E-2</v>
      </c>
      <c r="E64" s="236">
        <f t="shared" si="6"/>
        <v>0.03</v>
      </c>
      <c r="I64" s="236">
        <v>1E-3</v>
      </c>
      <c r="J64" s="232">
        <v>3</v>
      </c>
      <c r="K64" s="236">
        <f t="shared" si="7"/>
        <v>2.9955044966269995E-3</v>
      </c>
      <c r="L64" s="236">
        <f t="shared" si="8"/>
        <v>3.0000000000000001E-3</v>
      </c>
    </row>
    <row r="65" spans="2:12" x14ac:dyDescent="0.2">
      <c r="B65" s="236">
        <v>0.01</v>
      </c>
      <c r="C65" s="232">
        <v>4</v>
      </c>
      <c r="D65" s="236">
        <f t="shared" si="5"/>
        <v>3.9210560847676823E-2</v>
      </c>
      <c r="E65" s="236">
        <f t="shared" si="6"/>
        <v>0.04</v>
      </c>
      <c r="I65" s="236">
        <v>1E-3</v>
      </c>
      <c r="J65" s="232">
        <v>4</v>
      </c>
      <c r="K65" s="236">
        <f t="shared" si="7"/>
        <v>3.9920106560085156E-3</v>
      </c>
      <c r="L65" s="236">
        <f t="shared" si="8"/>
        <v>4.0000000000000001E-3</v>
      </c>
    </row>
    <row r="66" spans="2:12" x14ac:dyDescent="0.2">
      <c r="B66" s="236">
        <v>0.01</v>
      </c>
      <c r="C66" s="232">
        <v>5</v>
      </c>
      <c r="D66" s="236">
        <f t="shared" si="5"/>
        <v>4.8770575499285984E-2</v>
      </c>
      <c r="E66" s="236">
        <f t="shared" si="6"/>
        <v>0.05</v>
      </c>
      <c r="I66" s="236">
        <v>1E-3</v>
      </c>
      <c r="J66" s="232">
        <v>5</v>
      </c>
      <c r="K66" s="236">
        <f t="shared" si="7"/>
        <v>4.9875208073176802E-3</v>
      </c>
      <c r="L66" s="236">
        <f t="shared" si="8"/>
        <v>5.0000000000000001E-3</v>
      </c>
    </row>
    <row r="67" spans="2:12" x14ac:dyDescent="0.2">
      <c r="B67" s="236">
        <v>0.01</v>
      </c>
      <c r="C67" s="232">
        <v>8</v>
      </c>
      <c r="D67" s="236">
        <f t="shared" si="5"/>
        <v>7.6883653613364245E-2</v>
      </c>
      <c r="E67" s="236">
        <f t="shared" si="6"/>
        <v>0.08</v>
      </c>
      <c r="I67" s="236">
        <v>1E-3</v>
      </c>
      <c r="J67" s="232">
        <v>8</v>
      </c>
      <c r="K67" s="236">
        <f t="shared" si="7"/>
        <v>7.9680851629393423E-3</v>
      </c>
      <c r="L67" s="236">
        <f t="shared" si="8"/>
        <v>8.0000000000000002E-3</v>
      </c>
    </row>
    <row r="68" spans="2:12" x14ac:dyDescent="0.2">
      <c r="B68" s="236">
        <v>0.01</v>
      </c>
      <c r="C68" s="232">
        <v>10</v>
      </c>
      <c r="D68" s="236">
        <f t="shared" si="5"/>
        <v>9.5162581964040482E-2</v>
      </c>
      <c r="E68" s="236">
        <f t="shared" si="6"/>
        <v>0.1</v>
      </c>
      <c r="I68" s="236">
        <v>1E-3</v>
      </c>
      <c r="J68" s="232">
        <v>10</v>
      </c>
      <c r="K68" s="236">
        <f t="shared" si="7"/>
        <v>9.9501662508318933E-3</v>
      </c>
      <c r="L68" s="236">
        <f t="shared" si="8"/>
        <v>0.01</v>
      </c>
    </row>
    <row r="69" spans="2:12" x14ac:dyDescent="0.2">
      <c r="B69" s="236">
        <v>0.01</v>
      </c>
      <c r="C69" s="232">
        <v>12</v>
      </c>
      <c r="D69" s="236">
        <f t="shared" si="5"/>
        <v>0.11307956328284252</v>
      </c>
      <c r="E69" s="236">
        <f t="shared" si="6"/>
        <v>0.12</v>
      </c>
      <c r="I69" s="236">
        <v>1E-3</v>
      </c>
      <c r="J69" s="232">
        <v>12</v>
      </c>
      <c r="K69" s="236">
        <f t="shared" si="7"/>
        <v>1.1928287138069482E-2</v>
      </c>
      <c r="L69" s="236">
        <f t="shared" si="8"/>
        <v>1.2E-2</v>
      </c>
    </row>
    <row r="70" spans="2:12" x14ac:dyDescent="0.2">
      <c r="B70" s="236">
        <v>0.01</v>
      </c>
      <c r="C70" s="232">
        <v>14</v>
      </c>
      <c r="D70" s="236">
        <f t="shared" si="5"/>
        <v>0.13064176460119414</v>
      </c>
      <c r="E70" s="236">
        <f t="shared" si="6"/>
        <v>0.14000000000000001</v>
      </c>
      <c r="I70" s="236">
        <v>1E-3</v>
      </c>
      <c r="J70" s="232">
        <v>14</v>
      </c>
      <c r="K70" s="236">
        <f t="shared" si="7"/>
        <v>1.3902455737138109E-2</v>
      </c>
      <c r="L70" s="236">
        <f t="shared" si="8"/>
        <v>1.4E-2</v>
      </c>
    </row>
    <row r="71" spans="2:12" x14ac:dyDescent="0.2">
      <c r="B71" s="236">
        <v>0.01</v>
      </c>
      <c r="C71" s="232">
        <v>16</v>
      </c>
      <c r="D71" s="236">
        <f t="shared" si="5"/>
        <v>0.14785621103378865</v>
      </c>
      <c r="E71" s="236">
        <f t="shared" si="6"/>
        <v>0.16</v>
      </c>
      <c r="I71" s="236">
        <v>1E-3</v>
      </c>
      <c r="J71" s="232">
        <v>16</v>
      </c>
      <c r="K71" s="236">
        <f t="shared" si="7"/>
        <v>1.5872679944714863E-2</v>
      </c>
      <c r="L71" s="236">
        <f t="shared" si="8"/>
        <v>1.6E-2</v>
      </c>
    </row>
    <row r="72" spans="2:12" x14ac:dyDescent="0.2">
      <c r="B72" s="236">
        <v>0.01</v>
      </c>
      <c r="C72" s="232">
        <v>18</v>
      </c>
      <c r="D72" s="236">
        <f t="shared" si="5"/>
        <v>0.164729788588728</v>
      </c>
      <c r="E72" s="236">
        <f t="shared" si="6"/>
        <v>0.18</v>
      </c>
      <c r="I72" s="236">
        <v>1E-3</v>
      </c>
      <c r="J72" s="232">
        <v>18</v>
      </c>
      <c r="K72" s="236">
        <f t="shared" si="7"/>
        <v>1.7838967641699233E-2</v>
      </c>
      <c r="L72" s="236">
        <f t="shared" si="8"/>
        <v>1.8000000000000002E-2</v>
      </c>
    </row>
    <row r="73" spans="2:12" x14ac:dyDescent="0.2">
      <c r="B73" s="236">
        <v>0.01</v>
      </c>
      <c r="C73" s="232">
        <v>20</v>
      </c>
      <c r="D73" s="236">
        <f t="shared" ref="D73:D79" si="9">1-EXP(-B73*C73)</f>
        <v>0.18126924692201818</v>
      </c>
      <c r="E73" s="236">
        <f t="shared" ref="E73:E79" si="10">B73*C73</f>
        <v>0.2</v>
      </c>
      <c r="I73" s="236">
        <v>1E-3</v>
      </c>
      <c r="J73" s="232">
        <v>20</v>
      </c>
      <c r="K73" s="236">
        <f t="shared" si="7"/>
        <v>1.9801326693244747E-2</v>
      </c>
      <c r="L73" s="236">
        <f t="shared" si="8"/>
        <v>0.02</v>
      </c>
    </row>
    <row r="74" spans="2:12" x14ac:dyDescent="0.2">
      <c r="B74" s="236">
        <v>0.01</v>
      </c>
      <c r="C74" s="232">
        <v>30</v>
      </c>
      <c r="D74" s="236">
        <f t="shared" si="9"/>
        <v>0.25918177931828212</v>
      </c>
      <c r="E74" s="236">
        <f t="shared" si="10"/>
        <v>0.3</v>
      </c>
      <c r="I74" s="236">
        <v>1E-3</v>
      </c>
      <c r="J74" s="232">
        <v>30</v>
      </c>
      <c r="K74" s="236">
        <f t="shared" si="7"/>
        <v>2.9554466451491845E-2</v>
      </c>
      <c r="L74" s="236">
        <f t="shared" si="8"/>
        <v>0.03</v>
      </c>
    </row>
    <row r="75" spans="2:12" x14ac:dyDescent="0.2">
      <c r="B75" s="236">
        <v>0.01</v>
      </c>
      <c r="C75" s="232">
        <v>40</v>
      </c>
      <c r="D75" s="236">
        <f t="shared" si="9"/>
        <v>0.32967995396436067</v>
      </c>
      <c r="E75" s="236">
        <f t="shared" si="10"/>
        <v>0.4</v>
      </c>
      <c r="I75" s="236">
        <v>1E-3</v>
      </c>
      <c r="J75" s="232">
        <v>40</v>
      </c>
      <c r="K75" s="236">
        <f t="shared" si="7"/>
        <v>3.9210560847676823E-2</v>
      </c>
      <c r="L75" s="236">
        <f t="shared" si="8"/>
        <v>0.04</v>
      </c>
    </row>
    <row r="76" spans="2:12" x14ac:dyDescent="0.2">
      <c r="B76" s="236">
        <v>0.01</v>
      </c>
      <c r="C76" s="232">
        <v>50</v>
      </c>
      <c r="D76" s="236">
        <f t="shared" si="9"/>
        <v>0.39346934028736658</v>
      </c>
      <c r="E76" s="236">
        <f t="shared" si="10"/>
        <v>0.5</v>
      </c>
      <c r="I76" s="236">
        <v>1E-3</v>
      </c>
      <c r="J76" s="232">
        <v>50</v>
      </c>
      <c r="K76" s="236">
        <f t="shared" si="7"/>
        <v>4.8770575499285984E-2</v>
      </c>
      <c r="L76" s="236">
        <f t="shared" si="8"/>
        <v>0.05</v>
      </c>
    </row>
    <row r="77" spans="2:12" x14ac:dyDescent="0.2">
      <c r="B77" s="236">
        <v>0.01</v>
      </c>
      <c r="C77" s="232">
        <v>60</v>
      </c>
      <c r="D77" s="236">
        <f t="shared" si="9"/>
        <v>0.45118836390597361</v>
      </c>
      <c r="E77" s="236">
        <f t="shared" si="10"/>
        <v>0.6</v>
      </c>
      <c r="I77" s="236">
        <v>1E-3</v>
      </c>
      <c r="J77" s="232">
        <v>60</v>
      </c>
      <c r="K77" s="236">
        <f t="shared" si="7"/>
        <v>5.823546641575128E-2</v>
      </c>
      <c r="L77" s="236">
        <f t="shared" si="8"/>
        <v>0.06</v>
      </c>
    </row>
    <row r="78" spans="2:12" x14ac:dyDescent="0.2">
      <c r="B78" s="236">
        <v>0.01</v>
      </c>
      <c r="C78" s="232">
        <v>80</v>
      </c>
      <c r="D78" s="236">
        <f t="shared" si="9"/>
        <v>0.55067103588277844</v>
      </c>
      <c r="E78" s="236">
        <f t="shared" si="10"/>
        <v>0.8</v>
      </c>
      <c r="I78" s="236">
        <v>1E-3</v>
      </c>
      <c r="J78" s="232">
        <v>80</v>
      </c>
      <c r="K78" s="236">
        <f t="shared" si="7"/>
        <v>7.6883653613364245E-2</v>
      </c>
      <c r="L78" s="236">
        <f t="shared" si="8"/>
        <v>0.08</v>
      </c>
    </row>
    <row r="79" spans="2:12" x14ac:dyDescent="0.2">
      <c r="B79" s="236">
        <v>0.01</v>
      </c>
      <c r="C79" s="232">
        <v>100</v>
      </c>
      <c r="D79" s="236">
        <f t="shared" si="9"/>
        <v>0.63212055882855767</v>
      </c>
      <c r="E79" s="236">
        <f t="shared" si="10"/>
        <v>1</v>
      </c>
      <c r="I79" s="236">
        <v>1E-3</v>
      </c>
      <c r="J79" s="232">
        <v>100</v>
      </c>
      <c r="K79" s="236">
        <f t="shared" si="7"/>
        <v>9.5162581964040482E-2</v>
      </c>
      <c r="L79" s="236">
        <f t="shared" si="8"/>
        <v>0.1</v>
      </c>
    </row>
  </sheetData>
  <sheetProtection password="C774" sheet="1" objects="1" scenarios="1"/>
  <mergeCells count="5">
    <mergeCell ref="B1:K1"/>
    <mergeCell ref="B60:E60"/>
    <mergeCell ref="I60:L60"/>
    <mergeCell ref="M2:N2"/>
    <mergeCell ref="L2:L3"/>
  </mergeCells>
  <phoneticPr fontId="43" type="noConversion"/>
  <pageMargins left="0.75" right="0.75" top="1" bottom="1" header="0.5" footer="0.5"/>
  <pageSetup orientation="portrait"/>
  <headerFooter alignWithMargins="0"/>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24"/>
  <sheetViews>
    <sheetView topLeftCell="A2" zoomScaleNormal="100" workbookViewId="0">
      <selection activeCell="B5" sqref="B5:C6"/>
    </sheetView>
  </sheetViews>
  <sheetFormatPr defaultColWidth="3.7109375" defaultRowHeight="12.75" x14ac:dyDescent="0.2"/>
  <cols>
    <col min="1" max="1" width="17" style="75" customWidth="1"/>
    <col min="2" max="2" width="8.42578125" style="75" customWidth="1"/>
    <col min="3" max="3" width="12.28515625" style="75" customWidth="1"/>
    <col min="4" max="4" width="8.7109375" style="75" customWidth="1"/>
    <col min="5" max="5" width="8.28515625" style="75" customWidth="1"/>
    <col min="6" max="7" width="15.7109375" style="75" customWidth="1"/>
    <col min="8" max="8" width="9.42578125" style="75" customWidth="1"/>
    <col min="9" max="9" width="9.7109375" style="75" customWidth="1"/>
    <col min="10" max="10" width="9.28515625" style="75" customWidth="1"/>
    <col min="11" max="11" width="9.7109375" style="75" customWidth="1"/>
    <col min="12" max="12" width="10.42578125" style="75" customWidth="1"/>
    <col min="13" max="13" width="4.7109375" style="75" customWidth="1"/>
    <col min="14" max="14" width="26" style="75" customWidth="1"/>
    <col min="15" max="22" width="6.7109375" style="75" customWidth="1"/>
    <col min="23" max="23" width="11.140625" style="75" customWidth="1"/>
    <col min="24" max="70" width="6.7109375" style="75" customWidth="1"/>
    <col min="71" max="16384" width="3.7109375" style="75"/>
  </cols>
  <sheetData>
    <row r="1" spans="1:25" ht="30.75" customHeight="1" x14ac:dyDescent="0.25">
      <c r="A1" s="441" t="s">
        <v>47</v>
      </c>
      <c r="B1" s="442"/>
      <c r="C1" s="442"/>
      <c r="D1" s="442"/>
      <c r="E1" s="433"/>
      <c r="F1" s="437"/>
      <c r="G1"/>
      <c r="H1"/>
      <c r="I1" s="143" t="s">
        <v>179</v>
      </c>
      <c r="J1"/>
      <c r="K1" s="92"/>
      <c r="L1" s="416" t="s">
        <v>261</v>
      </c>
      <c r="M1" s="416"/>
      <c r="N1" s="416"/>
      <c r="O1"/>
      <c r="P1"/>
      <c r="Q1"/>
      <c r="R1"/>
      <c r="S1"/>
      <c r="T1"/>
      <c r="U1"/>
      <c r="V1"/>
      <c r="W1" s="138" t="s">
        <v>315</v>
      </c>
      <c r="X1" s="138"/>
      <c r="Y1"/>
    </row>
    <row r="2" spans="1:25" ht="15.75" x14ac:dyDescent="0.25">
      <c r="A2" s="17" t="s">
        <v>20</v>
      </c>
      <c r="B2"/>
      <c r="C2"/>
      <c r="D2"/>
      <c r="E2"/>
      <c r="F2"/>
      <c r="G2"/>
      <c r="H2"/>
      <c r="I2"/>
      <c r="J2"/>
      <c r="K2" s="92"/>
      <c r="L2"/>
      <c r="M2"/>
      <c r="N2"/>
      <c r="O2"/>
      <c r="P2"/>
      <c r="Q2"/>
      <c r="R2"/>
      <c r="S2"/>
      <c r="T2"/>
      <c r="U2"/>
      <c r="V2"/>
      <c r="W2" s="20">
        <v>0.9</v>
      </c>
      <c r="X2"/>
      <c r="Y2"/>
    </row>
    <row r="3" spans="1:25" ht="15.75" x14ac:dyDescent="0.25">
      <c r="A3"/>
      <c r="B3" s="18" t="s">
        <v>5</v>
      </c>
      <c r="C3"/>
      <c r="D3"/>
      <c r="E3"/>
      <c r="F3"/>
      <c r="G3"/>
      <c r="H3" s="3" t="s">
        <v>4</v>
      </c>
      <c r="I3"/>
      <c r="J3"/>
      <c r="K3" s="92"/>
      <c r="L3"/>
      <c r="M3"/>
      <c r="N3"/>
      <c r="O3"/>
      <c r="P3"/>
      <c r="Q3"/>
      <c r="R3"/>
      <c r="S3"/>
      <c r="T3"/>
      <c r="U3"/>
      <c r="V3"/>
      <c r="W3" s="20">
        <v>0.95</v>
      </c>
      <c r="X3"/>
      <c r="Y3"/>
    </row>
    <row r="4" spans="1:25" x14ac:dyDescent="0.2">
      <c r="A4"/>
      <c r="B4" t="s">
        <v>49</v>
      </c>
      <c r="C4" t="s">
        <v>50</v>
      </c>
      <c r="D4"/>
      <c r="E4"/>
      <c r="F4"/>
      <c r="G4"/>
      <c r="H4" t="s">
        <v>49</v>
      </c>
      <c r="I4" t="s">
        <v>50</v>
      </c>
      <c r="J4"/>
      <c r="K4" s="92"/>
      <c r="L4"/>
      <c r="M4"/>
      <c r="N4"/>
      <c r="O4"/>
      <c r="P4"/>
      <c r="Q4"/>
      <c r="R4"/>
      <c r="S4"/>
      <c r="T4"/>
      <c r="U4"/>
      <c r="V4"/>
      <c r="W4" s="20">
        <v>0.99</v>
      </c>
      <c r="X4"/>
      <c r="Y4"/>
    </row>
    <row r="5" spans="1:25" x14ac:dyDescent="0.2">
      <c r="A5" t="s">
        <v>1</v>
      </c>
      <c r="B5" s="15"/>
      <c r="C5" s="15"/>
      <c r="D5">
        <f>B5+C5</f>
        <v>0</v>
      </c>
      <c r="E5"/>
      <c r="F5"/>
      <c r="G5" t="s">
        <v>1</v>
      </c>
      <c r="H5" s="24" t="e">
        <f>(B7/D7)*D5</f>
        <v>#DIV/0!</v>
      </c>
      <c r="I5" s="24" t="e">
        <f>D5-H5</f>
        <v>#DIV/0!</v>
      </c>
      <c r="J5" t="e">
        <f>H5+I5</f>
        <v>#DIV/0!</v>
      </c>
      <c r="K5" s="92"/>
      <c r="L5"/>
      <c r="M5"/>
      <c r="N5"/>
      <c r="O5"/>
      <c r="P5"/>
      <c r="Q5"/>
      <c r="R5"/>
      <c r="S5"/>
      <c r="T5"/>
      <c r="U5"/>
      <c r="V5"/>
      <c r="W5"/>
      <c r="X5"/>
      <c r="Y5"/>
    </row>
    <row r="6" spans="1:25" x14ac:dyDescent="0.2">
      <c r="A6" t="s">
        <v>6</v>
      </c>
      <c r="B6" s="15"/>
      <c r="C6" s="15"/>
      <c r="D6">
        <f>B6+C6</f>
        <v>0</v>
      </c>
      <c r="E6"/>
      <c r="F6"/>
      <c r="G6" t="s">
        <v>6</v>
      </c>
      <c r="H6" s="24" t="e">
        <f>(B7/D7)*D6</f>
        <v>#DIV/0!</v>
      </c>
      <c r="I6" s="24" t="e">
        <f>D6-H6</f>
        <v>#DIV/0!</v>
      </c>
      <c r="J6" t="e">
        <f>H6+I6</f>
        <v>#DIV/0!</v>
      </c>
      <c r="K6" s="92"/>
      <c r="L6"/>
      <c r="M6"/>
      <c r="N6"/>
      <c r="O6"/>
      <c r="P6"/>
      <c r="Q6"/>
      <c r="R6"/>
      <c r="S6"/>
      <c r="T6"/>
      <c r="U6"/>
      <c r="V6"/>
      <c r="W6"/>
      <c r="X6"/>
      <c r="Y6"/>
    </row>
    <row r="7" spans="1:25" x14ac:dyDescent="0.2">
      <c r="A7"/>
      <c r="B7">
        <f>B5+B6</f>
        <v>0</v>
      </c>
      <c r="C7">
        <f>C5+C6</f>
        <v>0</v>
      </c>
      <c r="D7">
        <f>D5+D6</f>
        <v>0</v>
      </c>
      <c r="E7"/>
      <c r="F7"/>
      <c r="G7"/>
      <c r="H7" t="e">
        <f>H5+H6</f>
        <v>#DIV/0!</v>
      </c>
      <c r="I7" t="e">
        <f>I5+I6</f>
        <v>#DIV/0!</v>
      </c>
      <c r="J7" t="e">
        <f>J5+J6</f>
        <v>#DIV/0!</v>
      </c>
      <c r="K7" s="92"/>
      <c r="L7"/>
      <c r="M7"/>
      <c r="N7"/>
      <c r="O7"/>
      <c r="P7"/>
      <c r="Q7"/>
      <c r="R7"/>
      <c r="S7"/>
      <c r="T7"/>
      <c r="U7"/>
      <c r="V7"/>
      <c r="W7" s="289"/>
      <c r="X7"/>
      <c r="Y7"/>
    </row>
    <row r="8" spans="1:25" x14ac:dyDescent="0.2">
      <c r="A8" s="92"/>
      <c r="B8" s="92"/>
      <c r="C8" s="92"/>
      <c r="F8" s="297">
        <v>0.95</v>
      </c>
      <c r="G8" s="290" t="s">
        <v>316</v>
      </c>
      <c r="H8" s="92"/>
      <c r="I8" s="93"/>
      <c r="J8"/>
      <c r="K8" s="92"/>
      <c r="L8"/>
      <c r="M8"/>
      <c r="N8"/>
      <c r="O8"/>
      <c r="P8"/>
      <c r="Q8"/>
      <c r="R8"/>
      <c r="S8"/>
      <c r="T8"/>
      <c r="U8"/>
      <c r="V8"/>
      <c r="W8"/>
      <c r="X8"/>
      <c r="Y8"/>
    </row>
    <row r="9" spans="1:25" ht="21" customHeight="1" x14ac:dyDescent="0.25">
      <c r="A9" s="35"/>
      <c r="B9" s="36" t="s">
        <v>303</v>
      </c>
      <c r="C9" s="389" t="e">
        <f>B5/D5</f>
        <v>#DIV/0!</v>
      </c>
      <c r="D9"/>
      <c r="E9"/>
      <c r="F9" s="447" t="s">
        <v>312</v>
      </c>
      <c r="G9" s="448"/>
      <c r="H9" s="16"/>
      <c r="I9"/>
      <c r="J9"/>
      <c r="K9" s="258"/>
      <c r="L9"/>
      <c r="M9"/>
      <c r="N9"/>
      <c r="O9"/>
      <c r="P9"/>
      <c r="Q9"/>
      <c r="R9"/>
      <c r="S9"/>
      <c r="T9"/>
      <c r="U9"/>
      <c r="V9"/>
      <c r="W9"/>
      <c r="X9"/>
      <c r="Y9"/>
    </row>
    <row r="10" spans="1:25" ht="15.75" x14ac:dyDescent="0.25">
      <c r="A10" s="35"/>
      <c r="B10" s="36" t="s">
        <v>304</v>
      </c>
      <c r="C10" s="389" t="e">
        <f>B6/D6</f>
        <v>#DIV/0!</v>
      </c>
      <c r="D10"/>
      <c r="E10"/>
      <c r="F10" s="219" t="s">
        <v>313</v>
      </c>
      <c r="G10" s="219" t="s">
        <v>314</v>
      </c>
      <c r="H10" s="42"/>
      <c r="I10"/>
      <c r="J10"/>
      <c r="K10" s="21"/>
      <c r="L10"/>
      <c r="M10"/>
      <c r="N10"/>
      <c r="O10"/>
      <c r="P10"/>
      <c r="Q10"/>
      <c r="R10"/>
      <c r="S10"/>
      <c r="T10"/>
      <c r="U10"/>
      <c r="V10"/>
      <c r="W10"/>
      <c r="X10"/>
      <c r="Y10"/>
    </row>
    <row r="11" spans="1:25" ht="15.75" x14ac:dyDescent="0.25">
      <c r="A11"/>
      <c r="B11" s="298" t="s">
        <v>270</v>
      </c>
      <c r="C11" s="21" t="e">
        <f>$C$9/$C$10</f>
        <v>#DIV/0!</v>
      </c>
      <c r="D11"/>
      <c r="E11"/>
      <c r="F11" s="291" t="e">
        <f>EXP(LOG($C$11,2.7182818)-IF($F$8=0.9,1.645,IF($F$8=0.95,1.96,IF($F$8=0.99,2.5758,0)))*SQRT(1/$B$5-1/$D$5+1/$B$6-1/$D$6))</f>
        <v>#DIV/0!</v>
      </c>
      <c r="G11" s="291" t="e">
        <f>EXP(LOG($C$11,2.7182818)+IF($F$8=0.9,1.645,IF($F$8=0.95,1.96,IF($F$8=0.99,2.5758,0)))*SQRT(1/$B$5-1/$D$5+1/$B$6-1/$D$6))</f>
        <v>#DIV/0!</v>
      </c>
      <c r="H11" s="42"/>
      <c r="I11" s="21"/>
      <c r="J11"/>
      <c r="K11" s="21"/>
      <c r="L11"/>
      <c r="M11"/>
      <c r="N11"/>
      <c r="O11"/>
      <c r="P11"/>
      <c r="Q11"/>
      <c r="R11"/>
      <c r="S11"/>
      <c r="T11"/>
      <c r="U11"/>
      <c r="V11"/>
      <c r="W11"/>
      <c r="X11"/>
      <c r="Y11"/>
    </row>
    <row r="12" spans="1:25" ht="15.75" x14ac:dyDescent="0.25">
      <c r="A12"/>
      <c r="B12" s="219" t="s">
        <v>274</v>
      </c>
      <c r="C12" s="160" t="e">
        <f>C9-C10</f>
        <v>#DIV/0!</v>
      </c>
      <c r="D12"/>
      <c r="E12"/>
      <c r="F12" s="388" t="e">
        <f>$C$12-IF($F$8=0.9,1.645,IF($F$8=0.95,1.96,IF($F$8=0.99,2.5758,0)))*SQRT(($B$5*$C$5)/($D$5)^3+($B$6*$C$6)/($D$6)^3)</f>
        <v>#DIV/0!</v>
      </c>
      <c r="G12" s="388" t="e">
        <f>$C$12+IF($F$8=0.9,1.645,IF($F$8=0.95,1.96,IF($F$8=0.99,2.5758,0)))*SQRT(($B$5*$C$5)/($D$5)^3+($B$6*$C$6)/($D$6)^3)</f>
        <v>#DIV/0!</v>
      </c>
      <c r="H12"/>
      <c r="I12"/>
      <c r="J12"/>
      <c r="K12"/>
      <c r="L12"/>
      <c r="M12"/>
      <c r="N12"/>
      <c r="O12"/>
      <c r="P12"/>
      <c r="Q12"/>
      <c r="R12"/>
      <c r="S12"/>
      <c r="T12"/>
      <c r="U12"/>
      <c r="V12"/>
      <c r="W12"/>
      <c r="X12"/>
      <c r="Y12"/>
    </row>
    <row r="13" spans="1:25" ht="15.75" x14ac:dyDescent="0.25">
      <c r="A13"/>
      <c r="B13" s="219" t="s">
        <v>324</v>
      </c>
      <c r="C13" s="63" t="e">
        <f>IF(C11&gt;1, C12/C9*100, "N/A")</f>
        <v>#DIV/0!</v>
      </c>
      <c r="D13"/>
      <c r="E13"/>
      <c r="F13" s="93"/>
      <c r="G13"/>
      <c r="H13"/>
      <c r="I13"/>
      <c r="J13"/>
      <c r="K13" s="92"/>
      <c r="L13"/>
      <c r="M13"/>
      <c r="N13"/>
      <c r="O13"/>
      <c r="P13"/>
      <c r="Q13"/>
      <c r="R13"/>
      <c r="S13"/>
      <c r="T13"/>
      <c r="U13"/>
      <c r="V13"/>
      <c r="W13"/>
      <c r="X13"/>
      <c r="Y13"/>
    </row>
    <row r="14" spans="1:25" ht="15.75" x14ac:dyDescent="0.25">
      <c r="A14"/>
      <c r="B14" s="16" t="s">
        <v>28</v>
      </c>
      <c r="C14" s="23" t="e">
        <f>POWER($B$5-$H$5,2)/$H$5+POWER($C$5-$I$5,2)/$I$5+POWER($B$6-$H$6,2)/$H$6+POWER($C$6-$I$6,2)/$I$6</f>
        <v>#DIV/0!</v>
      </c>
      <c r="D14"/>
      <c r="F14" s="299" t="s">
        <v>325</v>
      </c>
      <c r="G14"/>
      <c r="I14" t="e">
        <f>(($D$5/$D$7)*($C$11-1))/(($D$5/$D$7)*($C11-1) +1)</f>
        <v>#DIV/0!</v>
      </c>
      <c r="J14"/>
      <c r="K14" s="92"/>
      <c r="L14"/>
      <c r="M14"/>
      <c r="N14"/>
      <c r="O14"/>
      <c r="P14"/>
      <c r="Q14"/>
      <c r="R14"/>
      <c r="S14"/>
      <c r="T14"/>
      <c r="U14"/>
      <c r="V14"/>
      <c r="W14"/>
      <c r="X14"/>
      <c r="Y14"/>
    </row>
    <row r="15" spans="1:25" ht="15.75" x14ac:dyDescent="0.25">
      <c r="A15"/>
      <c r="B15" s="16" t="s">
        <v>0</v>
      </c>
      <c r="C15" s="220" t="e">
        <f>CHITEST((B5:C6),(H5:I6))</f>
        <v>#DIV/0!</v>
      </c>
      <c r="D15"/>
      <c r="E15" s="421" t="e">
        <f>IF(H5&lt;5,"Chi Square not appropriate - a cell in 'expected table is &lt;5; use Fisher's Exact Test http://www.langsrud.com/fisher.htm",IF(H6&lt;5,"Chi Square not appropriate - a cell in 'expected table is &lt;5; use Fisher's Exact Test http://www.langsrud.com/fisher.htm",IF(I5&lt;5,"Chi Square not appropriate - a cell in 'expected table is &lt;5; use Fisher's Exact Test http://www.langsrud.com/fisher.htm",IF(I6&lt;5,"Chi Square not appropriate - a cell in 'expected table is &lt;5; use Fisher's Exact Test http://www.langsrud.com/fisher.htm",""))))</f>
        <v>#DIV/0!</v>
      </c>
      <c r="F15" s="421"/>
      <c r="G15" s="421"/>
      <c r="H15" s="421"/>
      <c r="I15" s="421"/>
      <c r="J15" s="421"/>
      <c r="K15" s="92"/>
      <c r="L15"/>
      <c r="M15"/>
      <c r="N15"/>
      <c r="O15"/>
      <c r="P15"/>
      <c r="Q15"/>
      <c r="R15"/>
      <c r="S15"/>
      <c r="T15"/>
      <c r="U15"/>
      <c r="V15"/>
      <c r="W15"/>
      <c r="X15"/>
      <c r="Y15"/>
    </row>
    <row r="16" spans="1:25" ht="15.75" x14ac:dyDescent="0.25">
      <c r="A16"/>
      <c r="B16" s="16"/>
      <c r="C16" s="94"/>
      <c r="D16"/>
      <c r="E16" s="421"/>
      <c r="F16" s="421"/>
      <c r="G16" s="421"/>
      <c r="H16" s="421"/>
      <c r="I16" s="421"/>
      <c r="J16" s="421"/>
      <c r="K16" s="92"/>
      <c r="L16"/>
      <c r="M16"/>
      <c r="N16"/>
      <c r="O16"/>
      <c r="P16"/>
      <c r="Q16"/>
      <c r="R16"/>
      <c r="S16"/>
      <c r="T16"/>
      <c r="U16"/>
      <c r="V16"/>
      <c r="W16"/>
      <c r="X16"/>
      <c r="Y16"/>
    </row>
    <row r="17" spans="1:25" ht="15.75" x14ac:dyDescent="0.25">
      <c r="A17"/>
      <c r="B17" s="16"/>
      <c r="C17" s="94"/>
      <c r="D17"/>
      <c r="E17" s="295"/>
      <c r="F17" s="143" t="s">
        <v>320</v>
      </c>
      <c r="G17"/>
      <c r="H17" s="295"/>
      <c r="I17" s="295"/>
      <c r="J17" s="295"/>
      <c r="K17" s="92"/>
      <c r="L17"/>
      <c r="M17"/>
      <c r="N17"/>
      <c r="O17"/>
      <c r="P17"/>
      <c r="Q17"/>
      <c r="R17"/>
      <c r="S17"/>
      <c r="T17"/>
      <c r="U17"/>
      <c r="V17"/>
      <c r="W17"/>
      <c r="X17"/>
      <c r="Y17"/>
    </row>
    <row r="18" spans="1:25" ht="15.75" x14ac:dyDescent="0.25">
      <c r="A18"/>
      <c r="B18" s="16" t="s">
        <v>275</v>
      </c>
      <c r="C18" s="221" t="e">
        <f>1/C12</f>
        <v>#DIV/0!</v>
      </c>
      <c r="D18"/>
      <c r="E18"/>
      <c r="F18" s="93"/>
      <c r="G18" s="16"/>
      <c r="H18" s="160"/>
      <c r="I18"/>
      <c r="J18"/>
      <c r="K18" s="92"/>
      <c r="L18"/>
      <c r="M18"/>
      <c r="N18"/>
      <c r="O18"/>
      <c r="P18"/>
      <c r="Q18"/>
      <c r="R18"/>
      <c r="S18"/>
      <c r="T18"/>
      <c r="U18"/>
      <c r="V18"/>
      <c r="W18"/>
      <c r="X18"/>
      <c r="Y18"/>
    </row>
    <row r="19" spans="1:25" x14ac:dyDescent="0.2">
      <c r="A19" s="443"/>
      <c r="B19" s="443"/>
      <c r="C19" s="443"/>
      <c r="D19" s="443"/>
      <c r="E19" s="443"/>
      <c r="F19" s="443"/>
      <c r="G19" s="443"/>
      <c r="H19" s="443"/>
      <c r="I19" s="443"/>
      <c r="J19" s="443"/>
      <c r="K19" s="443"/>
      <c r="L19"/>
      <c r="M19"/>
      <c r="N19"/>
      <c r="O19"/>
      <c r="P19"/>
      <c r="Q19"/>
      <c r="R19"/>
      <c r="S19"/>
      <c r="T19"/>
      <c r="U19"/>
      <c r="V19"/>
      <c r="W19"/>
      <c r="X19"/>
      <c r="Y19"/>
    </row>
    <row r="20" spans="1:25" ht="13.5" x14ac:dyDescent="0.25">
      <c r="A20" s="441" t="s">
        <v>48</v>
      </c>
      <c r="B20" s="442"/>
      <c r="C20" s="442"/>
      <c r="D20" s="442"/>
      <c r="E20" s="433"/>
      <c r="F20" s="437"/>
      <c r="G20"/>
      <c r="H20"/>
      <c r="I20"/>
      <c r="J20"/>
      <c r="K20" s="92"/>
      <c r="L20"/>
      <c r="M20"/>
      <c r="N20"/>
      <c r="O20"/>
      <c r="P20"/>
      <c r="Q20"/>
      <c r="R20"/>
      <c r="S20"/>
      <c r="T20"/>
      <c r="U20"/>
      <c r="V20"/>
      <c r="W20"/>
      <c r="X20"/>
      <c r="Y20"/>
    </row>
    <row r="21" spans="1:25" ht="15.75" x14ac:dyDescent="0.25">
      <c r="A21" s="17" t="s">
        <v>20</v>
      </c>
      <c r="B21"/>
      <c r="C21"/>
      <c r="D21"/>
      <c r="E21"/>
      <c r="F21"/>
      <c r="G21"/>
      <c r="H21"/>
      <c r="I21"/>
      <c r="J21"/>
      <c r="K21" s="92"/>
      <c r="L21"/>
      <c r="M21"/>
      <c r="O21"/>
      <c r="P21"/>
      <c r="Q21"/>
      <c r="R21"/>
      <c r="S21"/>
      <c r="T21"/>
      <c r="U21"/>
      <c r="V21"/>
      <c r="W21"/>
      <c r="X21"/>
      <c r="Y21"/>
    </row>
    <row r="22" spans="1:25" ht="15.75" x14ac:dyDescent="0.25">
      <c r="A22"/>
      <c r="B22" s="18" t="s">
        <v>5</v>
      </c>
      <c r="C22"/>
      <c r="D22"/>
      <c r="E22"/>
      <c r="F22"/>
      <c r="G22"/>
      <c r="H22" s="3" t="s">
        <v>4</v>
      </c>
      <c r="I22"/>
      <c r="J22"/>
      <c r="K22" s="92"/>
      <c r="L22"/>
      <c r="M22"/>
      <c r="N22"/>
      <c r="O22"/>
      <c r="P22"/>
      <c r="Q22"/>
      <c r="R22"/>
      <c r="S22"/>
      <c r="T22"/>
      <c r="U22"/>
      <c r="V22"/>
      <c r="W22"/>
      <c r="X22"/>
      <c r="Y22"/>
    </row>
    <row r="23" spans="1:25" x14ac:dyDescent="0.2">
      <c r="A23"/>
      <c r="B23" s="22" t="s">
        <v>49</v>
      </c>
      <c r="C23" t="s">
        <v>50</v>
      </c>
      <c r="D23" s="22" t="s">
        <v>52</v>
      </c>
      <c r="E23"/>
      <c r="F23"/>
      <c r="G23"/>
      <c r="H23" t="s">
        <v>49</v>
      </c>
      <c r="I23" t="s">
        <v>50</v>
      </c>
      <c r="J23"/>
      <c r="K23" s="92"/>
      <c r="L23"/>
      <c r="M23"/>
      <c r="N23"/>
      <c r="O23"/>
      <c r="P23"/>
      <c r="Q23"/>
      <c r="R23"/>
      <c r="S23"/>
      <c r="T23"/>
      <c r="U23"/>
      <c r="V23"/>
      <c r="W23"/>
      <c r="X23"/>
      <c r="Y23"/>
    </row>
    <row r="24" spans="1:25" x14ac:dyDescent="0.2">
      <c r="A24" t="s">
        <v>1</v>
      </c>
      <c r="B24" s="15">
        <v>261</v>
      </c>
      <c r="C24" s="38" t="s">
        <v>51</v>
      </c>
      <c r="D24" s="444">
        <v>737397</v>
      </c>
      <c r="E24" s="445"/>
      <c r="F24"/>
      <c r="G24" t="s">
        <v>1</v>
      </c>
      <c r="H24" s="24">
        <f>(D24/D26)*$B$26</f>
        <v>284.74732292703214</v>
      </c>
      <c r="I24" s="39" t="s">
        <v>51</v>
      </c>
      <c r="J24"/>
      <c r="K24" s="92"/>
      <c r="L24"/>
      <c r="M24"/>
      <c r="N24"/>
      <c r="O24"/>
      <c r="P24"/>
      <c r="Q24"/>
      <c r="R24"/>
      <c r="S24"/>
      <c r="T24"/>
      <c r="U24"/>
      <c r="V24"/>
      <c r="W24"/>
      <c r="X24"/>
      <c r="Y24"/>
    </row>
    <row r="25" spans="1:25" x14ac:dyDescent="0.2">
      <c r="A25" t="s">
        <v>6</v>
      </c>
      <c r="B25" s="15">
        <v>363</v>
      </c>
      <c r="C25" s="38" t="s">
        <v>51</v>
      </c>
      <c r="D25" s="446">
        <v>878547</v>
      </c>
      <c r="E25" s="445"/>
      <c r="F25"/>
      <c r="G25" t="s">
        <v>6</v>
      </c>
      <c r="H25" s="24">
        <f>(D25/D26)*$B$26</f>
        <v>339.25267707296786</v>
      </c>
      <c r="I25" s="39" t="s">
        <v>51</v>
      </c>
      <c r="J25"/>
      <c r="K25" s="92"/>
      <c r="L25"/>
      <c r="M25"/>
      <c r="N25"/>
      <c r="O25"/>
      <c r="P25"/>
      <c r="Q25"/>
      <c r="R25"/>
      <c r="S25"/>
      <c r="T25"/>
      <c r="U25"/>
      <c r="V25"/>
      <c r="W25"/>
      <c r="X25"/>
      <c r="Y25"/>
    </row>
    <row r="26" spans="1:25" x14ac:dyDescent="0.2">
      <c r="A26"/>
      <c r="B26">
        <f>B24+B25</f>
        <v>624</v>
      </c>
      <c r="C26"/>
      <c r="D26" s="449">
        <f>D24+D25</f>
        <v>1615944</v>
      </c>
      <c r="E26" s="449"/>
      <c r="F26"/>
      <c r="G26"/>
      <c r="H26">
        <f>H24+H25</f>
        <v>624</v>
      </c>
      <c r="I26"/>
      <c r="J26"/>
      <c r="K26" s="92"/>
      <c r="L26"/>
      <c r="M26"/>
      <c r="N26"/>
      <c r="O26"/>
      <c r="P26"/>
      <c r="Q26"/>
      <c r="R26"/>
      <c r="S26"/>
      <c r="T26"/>
      <c r="U26"/>
      <c r="V26"/>
      <c r="W26"/>
      <c r="X26"/>
      <c r="Y26"/>
    </row>
    <row r="27" spans="1:25" x14ac:dyDescent="0.2">
      <c r="A27"/>
      <c r="B27"/>
      <c r="C27"/>
      <c r="D27"/>
      <c r="E27"/>
      <c r="F27" s="297">
        <v>0.95</v>
      </c>
      <c r="G27" s="290" t="s">
        <v>316</v>
      </c>
      <c r="H27" s="92"/>
      <c r="I27"/>
      <c r="J27"/>
      <c r="K27" s="92"/>
      <c r="L27"/>
      <c r="M27"/>
      <c r="N27"/>
      <c r="O27"/>
      <c r="P27"/>
      <c r="Q27"/>
      <c r="R27"/>
      <c r="S27"/>
      <c r="T27"/>
      <c r="U27"/>
      <c r="V27"/>
      <c r="W27"/>
      <c r="X27"/>
      <c r="Y27"/>
    </row>
    <row r="28" spans="1:25" ht="15.75" x14ac:dyDescent="0.25">
      <c r="A28" s="35" t="s">
        <v>44</v>
      </c>
      <c r="B28" s="36" t="s">
        <v>45</v>
      </c>
      <c r="C28" s="37">
        <f>B24/D24</f>
        <v>3.5394773778575178E-4</v>
      </c>
      <c r="D28"/>
      <c r="F28" s="46" t="s">
        <v>312</v>
      </c>
      <c r="G28" s="21"/>
      <c r="H28"/>
      <c r="I28"/>
      <c r="J28"/>
      <c r="K28" s="92"/>
      <c r="L28"/>
      <c r="M28"/>
      <c r="N28"/>
      <c r="O28"/>
      <c r="P28"/>
      <c r="Q28"/>
      <c r="R28"/>
      <c r="S28"/>
      <c r="T28"/>
      <c r="U28"/>
      <c r="V28"/>
      <c r="W28"/>
      <c r="X28"/>
      <c r="Y28"/>
    </row>
    <row r="29" spans="1:25" ht="15.75" x14ac:dyDescent="0.25">
      <c r="A29" s="35" t="s">
        <v>44</v>
      </c>
      <c r="B29" s="35" t="s">
        <v>46</v>
      </c>
      <c r="C29" s="37">
        <f>B25/D25</f>
        <v>4.1318222018856134E-4</v>
      </c>
      <c r="D29"/>
      <c r="E29"/>
      <c r="F29" s="219" t="s">
        <v>313</v>
      </c>
      <c r="G29" s="219" t="s">
        <v>314</v>
      </c>
      <c r="H29"/>
      <c r="I29"/>
      <c r="J29"/>
      <c r="K29" s="92"/>
      <c r="L29"/>
      <c r="M29"/>
      <c r="N29"/>
      <c r="O29"/>
      <c r="P29"/>
      <c r="Q29"/>
      <c r="R29"/>
      <c r="S29"/>
      <c r="T29"/>
      <c r="U29"/>
      <c r="V29"/>
      <c r="W29"/>
      <c r="X29"/>
      <c r="Y29"/>
    </row>
    <row r="30" spans="1:25" ht="15.75" x14ac:dyDescent="0.25">
      <c r="A30"/>
      <c r="B30" s="16" t="s">
        <v>302</v>
      </c>
      <c r="C30" s="21">
        <f>$C$28/$C$29</f>
        <v>0.85663835589107129</v>
      </c>
      <c r="D30"/>
      <c r="E30"/>
      <c r="F30" s="291">
        <f>EXP(LOG($C$30,2.7182818)-IF($F$8=0.9,1.645,IF($F$8=0.95,1.96,IF($F$8=0.99,2.5758,0)))*SQRT(1/$B$24+1/$B$25))</f>
        <v>0.73066185722945709</v>
      </c>
      <c r="G30" s="291">
        <f>EXP(LOG($C$30,2.7182818)+IF($F$8=0.9,1.645,IF($F$8=0.95,1.96,IF($F$8=0.99,2.5758,0)))*SQRT(1/$B$24+1/$B$25))</f>
        <v>1.0043349918232207</v>
      </c>
      <c r="H30" s="16"/>
      <c r="I30" s="21"/>
      <c r="J30"/>
      <c r="K30" s="92"/>
      <c r="L30"/>
      <c r="M30"/>
      <c r="N30"/>
      <c r="O30"/>
      <c r="P30"/>
      <c r="Q30"/>
      <c r="R30"/>
      <c r="S30"/>
      <c r="T30"/>
      <c r="U30"/>
      <c r="V30"/>
      <c r="W30"/>
      <c r="X30"/>
      <c r="Y30"/>
    </row>
    <row r="31" spans="1:25" ht="15.75" x14ac:dyDescent="0.25">
      <c r="A31"/>
      <c r="B31" s="219" t="s">
        <v>318</v>
      </c>
      <c r="C31" s="94">
        <f>C28-C29</f>
        <v>-5.9234482402809562E-5</v>
      </c>
      <c r="D31"/>
      <c r="E31"/>
      <c r="F31" s="293">
        <f>$C$31-IF($F$27=0.9,1.645,IF($F$8=0.95,1.96,IF($F$8=0.99,2.5758,0)))*SQRT(($B$24/($D$24)^2)+($B$25/($D$25)^2))</f>
        <v>-1.1965521249746726E-4</v>
      </c>
      <c r="G31" s="293">
        <f>$C$31+IF($F$27=0.9,1.645,IF($F$8=0.95,1.96,IF($F$8=0.99,2.5758,0)))*SQRT(($B$24/($D$24)^2)+($B$25/($D$25)^2))</f>
        <v>1.1862476918481367E-6</v>
      </c>
      <c r="H31" s="16"/>
      <c r="I31" s="21"/>
      <c r="J31"/>
      <c r="K31" s="92"/>
      <c r="L31"/>
      <c r="M31"/>
      <c r="N31"/>
      <c r="O31"/>
      <c r="P31"/>
      <c r="Q31"/>
      <c r="R31"/>
      <c r="S31"/>
      <c r="T31"/>
      <c r="U31"/>
      <c r="V31"/>
      <c r="W31"/>
      <c r="X31"/>
      <c r="Y31"/>
    </row>
    <row r="32" spans="1:25" ht="15.75" x14ac:dyDescent="0.25">
      <c r="A32"/>
      <c r="B32" s="16" t="s">
        <v>28</v>
      </c>
      <c r="C32" s="23">
        <f>POWER(B24-H24,2)/H24+POWER(B25-H25,2)/H25</f>
        <v>3.6427634685694943</v>
      </c>
      <c r="D32"/>
      <c r="E32"/>
      <c r="F32"/>
      <c r="G32"/>
      <c r="H32"/>
      <c r="I32"/>
      <c r="J32"/>
      <c r="K32" s="92"/>
      <c r="L32"/>
      <c r="M32"/>
      <c r="N32"/>
      <c r="O32"/>
      <c r="P32"/>
      <c r="Q32"/>
      <c r="R32"/>
      <c r="S32"/>
      <c r="T32"/>
      <c r="U32"/>
      <c r="V32"/>
      <c r="W32"/>
      <c r="X32"/>
      <c r="Y32"/>
    </row>
    <row r="33" spans="1:57" ht="15.75" x14ac:dyDescent="0.25">
      <c r="A33"/>
      <c r="B33" s="16" t="s">
        <v>0</v>
      </c>
      <c r="C33" s="94">
        <f>CHITEST((B24:B25),(H24:H25))</f>
        <v>5.6313390355397376E-2</v>
      </c>
      <c r="D33" s="138" t="s">
        <v>323</v>
      </c>
      <c r="E33"/>
      <c r="F33" s="93"/>
      <c r="G33" s="16"/>
      <c r="H33" s="160"/>
      <c r="I33"/>
      <c r="J33"/>
      <c r="K33" s="92"/>
      <c r="L33"/>
      <c r="M33"/>
      <c r="N33"/>
      <c r="O33"/>
      <c r="P33"/>
      <c r="Q33"/>
      <c r="R33"/>
      <c r="S33"/>
      <c r="T33"/>
      <c r="U33"/>
      <c r="V33"/>
      <c r="W33"/>
      <c r="X33"/>
      <c r="Y33"/>
    </row>
    <row r="34" spans="1:57" ht="15.75" x14ac:dyDescent="0.25">
      <c r="A34"/>
      <c r="B34" s="16" t="s">
        <v>278</v>
      </c>
      <c r="C34" s="221">
        <f>1/C31</f>
        <v>-16882.058548258181</v>
      </c>
      <c r="D34" s="138" t="s">
        <v>317</v>
      </c>
      <c r="E34"/>
      <c r="F34" s="93"/>
      <c r="G34" s="16"/>
      <c r="H34" s="160"/>
      <c r="I34"/>
      <c r="J34"/>
      <c r="K34" s="92"/>
      <c r="L34"/>
      <c r="M34"/>
      <c r="N34"/>
      <c r="O34"/>
      <c r="P34"/>
      <c r="Q34"/>
      <c r="R34"/>
      <c r="S34"/>
      <c r="T34"/>
      <c r="U34"/>
      <c r="V34"/>
      <c r="W34"/>
      <c r="X34"/>
      <c r="Y34"/>
    </row>
    <row r="35" spans="1:57" x14ac:dyDescent="0.2">
      <c r="A35" s="331"/>
      <c r="B35" s="331"/>
      <c r="C35" s="331"/>
      <c r="D35" s="331"/>
      <c r="E35" s="331"/>
      <c r="F35" s="331"/>
      <c r="G35" s="331"/>
      <c r="H35" s="331"/>
      <c r="I35" s="331"/>
      <c r="J35" s="331"/>
      <c r="K35" s="92"/>
      <c r="L35"/>
      <c r="M35"/>
      <c r="N35"/>
      <c r="O35"/>
      <c r="P35"/>
      <c r="Q35"/>
      <c r="R35"/>
      <c r="S35"/>
      <c r="T35"/>
      <c r="U35"/>
      <c r="V35"/>
      <c r="W35"/>
      <c r="X35"/>
      <c r="Y35"/>
    </row>
    <row r="36" spans="1:57" ht="18" x14ac:dyDescent="0.25">
      <c r="A36"/>
      <c r="B36" s="2"/>
      <c r="C36" s="210" t="s">
        <v>356</v>
      </c>
      <c r="D36"/>
      <c r="E36"/>
      <c r="F36"/>
      <c r="G36"/>
      <c r="H36"/>
      <c r="I36"/>
      <c r="J36"/>
      <c r="K36"/>
      <c r="L36"/>
      <c r="M36"/>
      <c r="N36"/>
      <c r="O36"/>
      <c r="P36"/>
      <c r="Q36"/>
      <c r="R36"/>
      <c r="S36"/>
      <c r="T36"/>
      <c r="U36"/>
      <c r="V36"/>
      <c r="W36"/>
      <c r="X36"/>
      <c r="Y36"/>
    </row>
    <row r="37" spans="1:57" x14ac:dyDescent="0.2">
      <c r="A37" s="332" t="s">
        <v>357</v>
      </c>
      <c r="B37"/>
      <c r="C37"/>
      <c r="D37"/>
      <c r="E37"/>
      <c r="F37"/>
      <c r="G37" s="143" t="s">
        <v>358</v>
      </c>
      <c r="H37"/>
      <c r="I37"/>
      <c r="J37"/>
      <c r="K37"/>
      <c r="L37"/>
      <c r="M37"/>
      <c r="N37"/>
      <c r="O37"/>
      <c r="P37"/>
      <c r="Q37"/>
      <c r="R37"/>
      <c r="S37"/>
      <c r="T37"/>
      <c r="U37"/>
      <c r="V37"/>
      <c r="W37"/>
      <c r="X37"/>
      <c r="Y37"/>
    </row>
    <row r="38" spans="1:57" x14ac:dyDescent="0.2">
      <c r="A38" s="332" t="s">
        <v>359</v>
      </c>
      <c r="B38"/>
      <c r="C38"/>
      <c r="D38"/>
      <c r="E38"/>
      <c r="F38"/>
      <c r="G38" s="143" t="s">
        <v>360</v>
      </c>
      <c r="H38"/>
      <c r="I38"/>
      <c r="J38"/>
      <c r="K38"/>
      <c r="L38"/>
      <c r="M38"/>
      <c r="N38"/>
      <c r="O38"/>
      <c r="P38"/>
      <c r="Q38"/>
      <c r="R38"/>
      <c r="S38"/>
      <c r="T38"/>
      <c r="U38"/>
      <c r="V38"/>
      <c r="W38"/>
      <c r="X38"/>
      <c r="Y38"/>
    </row>
    <row r="39" spans="1:57" x14ac:dyDescent="0.2">
      <c r="A39" s="1"/>
      <c r="B39"/>
      <c r="C39"/>
      <c r="D39"/>
      <c r="E39"/>
      <c r="F39"/>
      <c r="G39"/>
      <c r="H39"/>
      <c r="I39"/>
      <c r="J39"/>
      <c r="K39"/>
      <c r="L39"/>
      <c r="M39"/>
      <c r="N39"/>
      <c r="O39"/>
      <c r="P39"/>
      <c r="Q39"/>
      <c r="R39"/>
      <c r="S39"/>
      <c r="T39"/>
      <c r="U39"/>
      <c r="V39"/>
      <c r="W39"/>
      <c r="X39"/>
      <c r="Y39"/>
    </row>
    <row r="40" spans="1:57" x14ac:dyDescent="0.2">
      <c r="A40" s="1"/>
      <c r="B40"/>
      <c r="C40"/>
      <c r="D40"/>
      <c r="E40"/>
      <c r="F40"/>
      <c r="G40"/>
      <c r="H40"/>
      <c r="I40"/>
      <c r="J40"/>
      <c r="K40"/>
      <c r="L40"/>
      <c r="M40"/>
      <c r="N40"/>
      <c r="O40"/>
      <c r="P40"/>
      <c r="Q40"/>
      <c r="R40"/>
      <c r="S40"/>
      <c r="T40"/>
      <c r="U40"/>
      <c r="V40"/>
      <c r="W40"/>
      <c r="X40"/>
      <c r="Y40"/>
    </row>
    <row r="41" spans="1:57" x14ac:dyDescent="0.2">
      <c r="A41" s="1"/>
      <c r="B41"/>
      <c r="C41"/>
      <c r="D41"/>
      <c r="E41"/>
      <c r="F41"/>
      <c r="G41"/>
      <c r="H41"/>
      <c r="I41"/>
      <c r="J41"/>
      <c r="K41"/>
      <c r="L41"/>
      <c r="M41"/>
      <c r="N41"/>
      <c r="O41"/>
      <c r="P41"/>
      <c r="Q41"/>
      <c r="R41"/>
      <c r="S41"/>
      <c r="T41"/>
      <c r="U41"/>
      <c r="V41"/>
      <c r="W41"/>
      <c r="X41"/>
      <c r="Y41"/>
    </row>
    <row r="42" spans="1:57" x14ac:dyDescent="0.2">
      <c r="A42" s="1"/>
      <c r="B42"/>
      <c r="C42"/>
      <c r="D42"/>
      <c r="E42"/>
      <c r="F42"/>
      <c r="G42"/>
      <c r="H42"/>
      <c r="I42"/>
      <c r="J42"/>
      <c r="K42"/>
      <c r="L42"/>
      <c r="M42"/>
      <c r="N42"/>
      <c r="O42"/>
      <c r="P42"/>
      <c r="Q42"/>
      <c r="R42"/>
      <c r="S42"/>
      <c r="T42"/>
      <c r="U42"/>
      <c r="V42"/>
      <c r="W42"/>
      <c r="X42"/>
      <c r="Y42"/>
    </row>
    <row r="43" spans="1:57" x14ac:dyDescent="0.2">
      <c r="A43" s="1"/>
      <c r="B43"/>
      <c r="C43"/>
      <c r="D43"/>
      <c r="E43"/>
      <c r="F43"/>
      <c r="G43"/>
      <c r="H43"/>
      <c r="I43"/>
      <c r="J43"/>
      <c r="K43"/>
      <c r="L43"/>
      <c r="M43"/>
      <c r="N43"/>
      <c r="O43"/>
      <c r="P43"/>
      <c r="Q43"/>
      <c r="R43"/>
      <c r="S43"/>
      <c r="T43"/>
      <c r="U43"/>
      <c r="V43"/>
      <c r="W43"/>
      <c r="X43"/>
      <c r="Y43"/>
    </row>
    <row r="44" spans="1:57" x14ac:dyDescent="0.2">
      <c r="A44" s="1"/>
      <c r="B44"/>
      <c r="C44"/>
      <c r="D44"/>
      <c r="E44"/>
      <c r="F44"/>
      <c r="G44"/>
      <c r="H44"/>
      <c r="I44"/>
      <c r="J44"/>
      <c r="K44"/>
      <c r="L44"/>
      <c r="M44"/>
      <c r="N44"/>
      <c r="O44"/>
      <c r="P44"/>
      <c r="Q44"/>
      <c r="R44"/>
      <c r="S44"/>
      <c r="T44"/>
      <c r="U44"/>
      <c r="V44"/>
      <c r="W44"/>
      <c r="X44"/>
      <c r="Y44"/>
    </row>
    <row r="45" spans="1:57" x14ac:dyDescent="0.2">
      <c r="A45" s="331"/>
      <c r="B45" s="331"/>
      <c r="C45" s="331"/>
      <c r="D45" s="331"/>
      <c r="E45" s="331"/>
      <c r="F45" s="331"/>
      <c r="G45" s="331"/>
      <c r="H45" s="331"/>
      <c r="I45" s="331"/>
      <c r="J45" s="331"/>
      <c r="K45"/>
      <c r="L45"/>
      <c r="M45"/>
      <c r="N45"/>
      <c r="O45"/>
      <c r="P45"/>
      <c r="Q45"/>
      <c r="R45"/>
      <c r="S45"/>
      <c r="T45"/>
      <c r="U45"/>
      <c r="V45"/>
      <c r="W45"/>
      <c r="X45"/>
      <c r="Y45"/>
    </row>
    <row r="46" spans="1:57" ht="15" customHeight="1" x14ac:dyDescent="0.25">
      <c r="I46" s="417" t="s">
        <v>300</v>
      </c>
      <c r="J46" s="417"/>
      <c r="K46" s="417"/>
      <c r="L46" s="418"/>
      <c r="M46" s="418"/>
      <c r="N46" s="418"/>
      <c r="O46" s="241"/>
      <c r="P46" s="240"/>
      <c r="Q46" s="240"/>
      <c r="R46" s="240"/>
      <c r="S46" s="241"/>
      <c r="T46" s="240"/>
      <c r="U46" s="240"/>
      <c r="V46" s="240"/>
      <c r="W46" s="241"/>
      <c r="X46" s="240"/>
      <c r="Y46" s="242"/>
      <c r="Z46" s="241"/>
      <c r="AA46" s="241"/>
      <c r="AB46" s="241"/>
      <c r="AC46" s="240"/>
      <c r="AD46" s="240"/>
      <c r="AE46" s="240"/>
      <c r="AF46" s="240"/>
      <c r="AG46" s="240"/>
      <c r="AH46" s="240"/>
      <c r="AI46" s="240"/>
      <c r="AJ46" s="240"/>
      <c r="AK46" s="240"/>
      <c r="AL46" s="240"/>
      <c r="AM46" s="242"/>
      <c r="AN46" s="242"/>
      <c r="AO46" s="242"/>
      <c r="AP46" s="242"/>
      <c r="AQ46" s="242"/>
      <c r="AR46" s="242"/>
      <c r="AS46" s="242"/>
      <c r="AT46" s="242"/>
      <c r="AU46" s="242"/>
      <c r="AV46" s="242"/>
      <c r="AW46" s="242"/>
      <c r="AX46" s="243"/>
      <c r="AY46" s="243"/>
      <c r="AZ46" s="243"/>
      <c r="BA46" s="243"/>
      <c r="BB46" s="243"/>
      <c r="BC46" s="243"/>
      <c r="BD46" s="243"/>
      <c r="BE46" s="244"/>
    </row>
    <row r="47" spans="1:57" ht="12" customHeight="1" x14ac:dyDescent="0.2">
      <c r="H47" s="242"/>
      <c r="I47" s="245">
        <v>0.9</v>
      </c>
      <c r="J47" s="245">
        <v>0.95</v>
      </c>
      <c r="K47" s="245">
        <v>0.99</v>
      </c>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2"/>
      <c r="AQ47" s="242"/>
      <c r="AR47" s="242"/>
      <c r="AS47" s="242"/>
      <c r="AT47" s="242"/>
      <c r="AU47" s="242"/>
      <c r="AV47" s="242"/>
      <c r="AW47" s="242"/>
      <c r="AX47" s="243"/>
      <c r="AY47" s="243"/>
      <c r="AZ47" s="243"/>
      <c r="BA47" s="243"/>
      <c r="BB47" s="243"/>
      <c r="BC47" s="243"/>
      <c r="BD47" s="243"/>
      <c r="BE47" s="244"/>
    </row>
    <row r="48" spans="1:57" ht="12" customHeight="1" x14ac:dyDescent="0.2">
      <c r="H48" s="246" t="s">
        <v>291</v>
      </c>
      <c r="I48" s="288"/>
      <c r="J48" s="20" t="e">
        <f>F11</f>
        <v>#DIV/0!</v>
      </c>
      <c r="K48" s="247"/>
      <c r="M48" s="242"/>
      <c r="N48" s="242"/>
      <c r="O48" s="242"/>
      <c r="P48" s="242"/>
      <c r="Q48" s="242"/>
      <c r="R48" s="242"/>
      <c r="S48" s="242"/>
      <c r="T48" s="242"/>
      <c r="U48" s="242"/>
      <c r="V48" s="242"/>
      <c r="W48" s="242"/>
      <c r="X48" s="242"/>
      <c r="Y48" s="242"/>
      <c r="Z48" s="242"/>
      <c r="AA48" s="242"/>
      <c r="AB48" s="242"/>
      <c r="AC48" s="242"/>
      <c r="AD48" s="242"/>
      <c r="AE48" s="242"/>
      <c r="AF48" s="242"/>
      <c r="AG48" s="242"/>
      <c r="AH48" s="242"/>
      <c r="AI48" s="242"/>
      <c r="AJ48" s="242"/>
      <c r="AK48" s="242"/>
      <c r="AL48" s="242"/>
      <c r="AM48" s="242"/>
      <c r="AN48" s="242"/>
      <c r="AO48" s="242"/>
      <c r="AP48" s="242"/>
      <c r="AQ48" s="242"/>
      <c r="AR48" s="242"/>
      <c r="AS48" s="242"/>
      <c r="AT48" s="242"/>
      <c r="AU48" s="242"/>
      <c r="AV48" s="242"/>
      <c r="AW48" s="242"/>
      <c r="AX48" s="243"/>
      <c r="AY48" s="243"/>
      <c r="AZ48" s="243"/>
      <c r="BA48" s="243"/>
      <c r="BB48" s="243"/>
      <c r="BC48" s="243"/>
      <c r="BD48" s="243"/>
      <c r="BE48" s="244"/>
    </row>
    <row r="49" spans="1:57" ht="12" customHeight="1" x14ac:dyDescent="0.2">
      <c r="H49" s="246" t="s">
        <v>292</v>
      </c>
      <c r="I49" s="288"/>
      <c r="J49" s="247" t="e">
        <f>G11</f>
        <v>#DIV/0!</v>
      </c>
      <c r="K49" s="247"/>
      <c r="M49" s="242"/>
      <c r="N49" s="242"/>
      <c r="O49" s="242"/>
      <c r="P49" s="242"/>
      <c r="Q49" s="242"/>
      <c r="R49" s="242"/>
      <c r="S49" s="242"/>
      <c r="T49" s="242"/>
      <c r="U49" s="242"/>
      <c r="V49" s="242"/>
      <c r="W49" s="242"/>
      <c r="X49" s="242"/>
      <c r="Y49" s="242"/>
      <c r="Z49" s="242"/>
      <c r="AA49" s="242"/>
      <c r="AB49" s="242"/>
      <c r="AC49" s="242"/>
      <c r="AD49" s="242"/>
      <c r="AE49" s="242"/>
      <c r="AF49" s="242"/>
      <c r="AG49" s="242"/>
      <c r="AH49" s="242"/>
      <c r="AI49" s="242"/>
      <c r="AJ49" s="242"/>
      <c r="AK49" s="242"/>
      <c r="AL49" s="242"/>
      <c r="AM49" s="242"/>
      <c r="AN49" s="242"/>
      <c r="AO49" s="242"/>
      <c r="AP49" s="242"/>
      <c r="AQ49" s="242"/>
      <c r="AR49" s="242"/>
      <c r="AS49" s="242"/>
      <c r="AT49" s="242"/>
      <c r="AU49" s="242"/>
      <c r="AV49" s="242"/>
      <c r="AW49" s="242"/>
      <c r="AX49" s="243"/>
      <c r="AY49" s="243"/>
      <c r="AZ49" s="243"/>
      <c r="BA49" s="243"/>
      <c r="BB49" s="243"/>
      <c r="BC49" s="243"/>
      <c r="BD49" s="243"/>
      <c r="BE49" s="244"/>
    </row>
    <row r="50" spans="1:57" ht="12" customHeight="1" x14ac:dyDescent="0.2">
      <c r="I50" s="242"/>
      <c r="J50" s="242"/>
      <c r="K50" s="242"/>
      <c r="L50" s="242"/>
      <c r="M50" s="248"/>
      <c r="N50" s="248"/>
      <c r="O50" s="242"/>
      <c r="P50" s="242"/>
      <c r="Q50" s="248"/>
      <c r="R50" s="248"/>
      <c r="S50" s="242"/>
      <c r="T50" s="242"/>
      <c r="U50" s="248"/>
      <c r="V50" s="248"/>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3"/>
      <c r="AY50" s="243"/>
      <c r="AZ50" s="243"/>
      <c r="BA50" s="243"/>
      <c r="BB50" s="243"/>
      <c r="BC50" s="243"/>
      <c r="BD50" s="243"/>
      <c r="BE50" s="244"/>
    </row>
    <row r="51" spans="1:57" ht="12" customHeight="1" x14ac:dyDescent="0.2">
      <c r="I51" s="242"/>
      <c r="K51" s="249" t="s">
        <v>293</v>
      </c>
      <c r="L51" s="250"/>
      <c r="M51" s="175"/>
      <c r="N51" s="242"/>
      <c r="O51" s="242"/>
      <c r="P51" s="242"/>
      <c r="Q51" s="242"/>
      <c r="R51" s="242"/>
      <c r="S51" s="242"/>
      <c r="T51" s="242"/>
      <c r="U51" s="242"/>
      <c r="V51" s="242"/>
      <c r="W51" s="242"/>
      <c r="X51" s="242"/>
      <c r="Y51" s="242"/>
      <c r="Z51" s="242"/>
      <c r="AA51" s="242"/>
      <c r="AB51" s="242"/>
      <c r="AC51" s="242"/>
      <c r="AD51" s="242"/>
      <c r="AE51" s="242"/>
      <c r="AF51" s="242"/>
      <c r="AG51" s="242"/>
      <c r="AH51" s="242"/>
      <c r="AI51" s="242"/>
      <c r="AJ51" s="242"/>
      <c r="AK51" s="242"/>
      <c r="AL51" s="242"/>
      <c r="AM51" s="242"/>
      <c r="AN51" s="242"/>
      <c r="AO51" s="242"/>
      <c r="AP51" s="242"/>
      <c r="AQ51" s="242"/>
      <c r="AR51" s="242"/>
      <c r="AS51" s="242"/>
      <c r="AT51" s="242"/>
      <c r="AU51" s="242"/>
      <c r="AV51" s="242"/>
      <c r="AW51" s="242"/>
      <c r="AX51" s="243"/>
      <c r="AY51" s="243"/>
      <c r="AZ51" s="243"/>
      <c r="BA51" s="243"/>
      <c r="BB51" s="243"/>
      <c r="BC51" s="243"/>
      <c r="BD51" s="243"/>
      <c r="BE51" s="244"/>
    </row>
    <row r="52" spans="1:57" ht="12" customHeight="1" x14ac:dyDescent="0.2">
      <c r="I52" s="242"/>
      <c r="K52" s="249" t="e">
        <f>IF(SUM(I48)+SUM(I49)&gt;0,IF(SUM(I48)&gt;0,IF(SUM(I49)&gt;0,EXP((LN(I48)+LN(I49))/2),0.000001),0.000001),IF(SUM(J48)+SUM(J49)&gt;0,IF(SUM(J48)&gt;0,IF(SUM(J49)&gt;0,EXP((LN(J48)+LN(J49))/2),0.000001),0.000001),IF(SUM(K48)+SUM(K49)&gt;0,IF(SUM(K48)&gt;0,IF(SUM(K49)&gt;0,EXP((LN(K48)+LN(K49))/2),0.000001),0.000001),0.00001)))</f>
        <v>#DIV/0!</v>
      </c>
      <c r="L52" s="250"/>
      <c r="M52" s="242"/>
      <c r="N52" s="242"/>
      <c r="O52" s="242"/>
      <c r="P52" s="242"/>
      <c r="Q52" s="242"/>
      <c r="R52" s="242"/>
      <c r="S52" s="242"/>
      <c r="T52" s="242"/>
      <c r="U52" s="242"/>
      <c r="V52" s="242"/>
      <c r="W52" s="242"/>
      <c r="X52" s="242"/>
      <c r="Y52" s="242"/>
      <c r="Z52" s="242"/>
      <c r="AA52" s="242"/>
      <c r="AB52" s="242"/>
      <c r="AC52" s="242"/>
      <c r="AD52" s="242"/>
      <c r="AE52" s="242"/>
      <c r="AF52" s="242"/>
      <c r="AG52" s="242"/>
      <c r="AH52" s="242"/>
      <c r="AI52" s="242"/>
      <c r="AJ52" s="242"/>
      <c r="AK52" s="242"/>
      <c r="AL52" s="242"/>
      <c r="AM52" s="242"/>
      <c r="AN52" s="242"/>
      <c r="AO52" s="242"/>
      <c r="AP52" s="242"/>
      <c r="AQ52" s="242"/>
      <c r="AR52" s="242"/>
      <c r="AS52" s="242"/>
      <c r="AT52" s="242"/>
      <c r="AU52" s="242"/>
      <c r="AV52" s="242"/>
      <c r="AW52" s="242"/>
      <c r="AX52" s="243"/>
      <c r="AY52" s="243"/>
      <c r="AZ52" s="243"/>
      <c r="BA52" s="243"/>
      <c r="BB52" s="243"/>
      <c r="BC52" s="243"/>
      <c r="BD52" s="243"/>
      <c r="BE52" s="244"/>
    </row>
    <row r="53" spans="1:57" ht="12" customHeight="1" x14ac:dyDescent="0.2">
      <c r="I53" s="242"/>
      <c r="K53" s="251"/>
      <c r="L53" s="250"/>
      <c r="M53" s="242"/>
      <c r="N53" s="242"/>
      <c r="O53" s="242"/>
      <c r="P53" s="242"/>
      <c r="Q53" s="242"/>
      <c r="R53" s="242"/>
      <c r="S53" s="242"/>
      <c r="T53" s="242"/>
      <c r="U53" s="242"/>
      <c r="V53" s="242"/>
      <c r="W53" s="242"/>
      <c r="X53" s="242"/>
      <c r="Y53" s="242"/>
      <c r="Z53" s="242"/>
      <c r="AA53" s="242"/>
      <c r="AB53" s="242"/>
      <c r="AC53" s="242"/>
      <c r="AD53" s="242"/>
      <c r="AE53" s="242"/>
      <c r="AF53" s="242"/>
      <c r="AG53" s="242"/>
      <c r="AH53" s="242"/>
      <c r="AI53" s="242"/>
      <c r="AJ53" s="242"/>
      <c r="AK53" s="242"/>
      <c r="AL53" s="242"/>
      <c r="AM53" s="242"/>
      <c r="AN53" s="242"/>
      <c r="AO53" s="242"/>
      <c r="AP53" s="242"/>
      <c r="AQ53" s="242"/>
      <c r="AR53" s="242"/>
      <c r="AS53" s="242"/>
      <c r="AT53" s="242"/>
      <c r="AU53" s="242"/>
      <c r="AV53" s="242"/>
      <c r="AW53" s="242"/>
      <c r="AX53" s="243"/>
      <c r="AY53" s="243"/>
      <c r="AZ53" s="243"/>
      <c r="BA53" s="243"/>
      <c r="BB53" s="243"/>
      <c r="BC53" s="243"/>
      <c r="BD53" s="243"/>
      <c r="BE53" s="244"/>
    </row>
    <row r="54" spans="1:57" ht="12" customHeight="1" x14ac:dyDescent="0.2">
      <c r="I54" s="242"/>
      <c r="J54" s="242"/>
      <c r="K54" s="249" t="s">
        <v>294</v>
      </c>
      <c r="L54" s="252"/>
      <c r="M54" s="248"/>
      <c r="N54" s="248"/>
      <c r="O54" s="242"/>
      <c r="P54" s="242"/>
      <c r="Q54" s="248"/>
      <c r="R54" s="248"/>
      <c r="S54" s="242"/>
      <c r="T54" s="242"/>
      <c r="U54" s="248"/>
      <c r="V54" s="248"/>
      <c r="W54" s="242"/>
      <c r="X54" s="242"/>
      <c r="Y54" s="242"/>
      <c r="Z54" s="242"/>
      <c r="AA54" s="242"/>
      <c r="AB54" s="242"/>
      <c r="AC54" s="242"/>
      <c r="AD54" s="242"/>
      <c r="AE54" s="242"/>
      <c r="AF54" s="242"/>
      <c r="AG54" s="242"/>
      <c r="AH54" s="242"/>
      <c r="AI54" s="242"/>
      <c r="AJ54" s="242"/>
      <c r="AK54" s="242"/>
      <c r="AL54" s="242"/>
      <c r="AM54" s="242"/>
      <c r="AN54" s="242"/>
      <c r="AO54" s="242"/>
      <c r="AP54" s="242"/>
      <c r="AQ54" s="242"/>
      <c r="AR54" s="242"/>
      <c r="AS54" s="242"/>
      <c r="AT54" s="242"/>
      <c r="AU54" s="242"/>
      <c r="AV54" s="242"/>
      <c r="AW54" s="242"/>
      <c r="AX54" s="243"/>
      <c r="AY54" s="243"/>
      <c r="AZ54" s="243"/>
      <c r="BA54" s="243"/>
      <c r="BB54" s="243"/>
      <c r="BC54" s="243"/>
      <c r="BD54" s="243"/>
      <c r="BE54" s="244"/>
    </row>
    <row r="55" spans="1:57" ht="12" customHeight="1" x14ac:dyDescent="0.2">
      <c r="I55" s="242"/>
      <c r="J55" s="242"/>
      <c r="K55" s="249" t="e">
        <f>IF(SUM(I48)+SUM(I49)&gt;0,IF(SUM(I48)&gt;0,IF(SUM(I49)&gt;0,(LN(I49)-LN(I48))/3.29,0.000001),0.000001),IF(SUM(J48)+SUM(J49)&gt;0,IF(SUM(J48)&gt;0,IF(SUM(J49)&gt;0,(LN(J49)-LN(J48))/3.84,0.000001),0.000001),IF(SUM(K48)+SUM(K49)&gt;0,IF(SUM(K48)&gt;0,IF(SUM(K49)&gt;0,(LN(K49)-LN(K48))/5.16,0.000001),0.000001),0.000001)))</f>
        <v>#DIV/0!</v>
      </c>
      <c r="L55" s="253"/>
      <c r="M55" s="242"/>
      <c r="N55" s="242"/>
      <c r="O55" s="242"/>
      <c r="P55" s="242"/>
      <c r="Q55" s="242"/>
      <c r="R55" s="242"/>
      <c r="S55" s="242"/>
      <c r="T55" s="242"/>
      <c r="U55" s="242"/>
      <c r="V55" s="242"/>
      <c r="W55" s="242"/>
      <c r="X55" s="242"/>
      <c r="Y55" s="242"/>
      <c r="Z55" s="242"/>
      <c r="AA55" s="242"/>
      <c r="AB55" s="242"/>
      <c r="AC55" s="242"/>
      <c r="AD55" s="242"/>
      <c r="AE55" s="242"/>
      <c r="AF55" s="242"/>
      <c r="AG55" s="242"/>
      <c r="AH55" s="242"/>
      <c r="AI55" s="242"/>
      <c r="AJ55" s="242"/>
      <c r="AK55" s="242"/>
      <c r="AL55" s="242"/>
      <c r="AM55" s="242"/>
      <c r="AN55" s="242"/>
      <c r="AO55" s="242"/>
      <c r="AP55" s="242"/>
      <c r="AQ55" s="242"/>
      <c r="AR55" s="242"/>
      <c r="AS55" s="242"/>
      <c r="AT55" s="242"/>
      <c r="AU55" s="242"/>
      <c r="AV55" s="242"/>
      <c r="AW55" s="242"/>
      <c r="AX55" s="243"/>
      <c r="AY55" s="243"/>
      <c r="AZ55" s="243"/>
      <c r="BA55" s="243"/>
      <c r="BB55" s="243"/>
      <c r="BC55" s="243"/>
      <c r="BD55" s="243"/>
      <c r="BE55" s="244"/>
    </row>
    <row r="56" spans="1:57" ht="12" customHeight="1" x14ac:dyDescent="0.2">
      <c r="I56" s="242"/>
      <c r="J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c r="AN56" s="242"/>
      <c r="AO56" s="242"/>
      <c r="AP56" s="242"/>
      <c r="AQ56" s="242"/>
      <c r="AR56" s="242"/>
      <c r="AS56" s="242"/>
      <c r="AT56" s="242"/>
      <c r="AU56" s="242"/>
      <c r="AV56" s="242"/>
      <c r="AW56" s="242"/>
      <c r="AX56" s="243"/>
      <c r="AY56" s="243"/>
      <c r="AZ56" s="243"/>
      <c r="BA56" s="243"/>
      <c r="BB56" s="243"/>
      <c r="BC56" s="243"/>
      <c r="BD56" s="243"/>
      <c r="BE56" s="244"/>
    </row>
    <row r="57" spans="1:57" ht="12" customHeight="1" x14ac:dyDescent="0.2">
      <c r="A57" s="257" t="s">
        <v>301</v>
      </c>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2"/>
      <c r="AF57" s="242"/>
      <c r="AG57" s="242"/>
      <c r="AH57" s="242"/>
      <c r="AI57" s="242"/>
      <c r="AJ57" s="242"/>
      <c r="AK57" s="242"/>
      <c r="AL57" s="242"/>
      <c r="AM57" s="242"/>
      <c r="AN57" s="242"/>
      <c r="AO57" s="242"/>
      <c r="AP57" s="242"/>
      <c r="AQ57" s="242"/>
      <c r="AR57" s="242"/>
      <c r="AS57" s="242"/>
      <c r="AT57" s="242"/>
      <c r="AU57" s="242"/>
      <c r="AV57" s="242"/>
      <c r="AW57" s="242"/>
      <c r="AX57" s="243"/>
      <c r="AY57" s="243"/>
      <c r="AZ57" s="243"/>
      <c r="BA57" s="243"/>
      <c r="BB57" s="243"/>
      <c r="BC57" s="243"/>
      <c r="BD57" s="243"/>
      <c r="BE57" s="244"/>
    </row>
    <row r="58" spans="1:57" ht="12" customHeight="1" x14ac:dyDescent="0.2">
      <c r="A58" s="250"/>
      <c r="B58" s="251" t="s">
        <v>295</v>
      </c>
      <c r="C58" s="239"/>
      <c r="D58" s="419" t="s">
        <v>296</v>
      </c>
      <c r="E58" s="420"/>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242"/>
      <c r="AM58" s="242"/>
      <c r="AN58" s="242"/>
      <c r="AO58" s="242"/>
      <c r="AP58" s="242"/>
      <c r="AQ58" s="242"/>
      <c r="AR58" s="242"/>
      <c r="AS58" s="242"/>
      <c r="AT58" s="242"/>
      <c r="AU58" s="242"/>
      <c r="AV58" s="242"/>
      <c r="AW58" s="242"/>
      <c r="AX58" s="243"/>
      <c r="AY58" s="243"/>
      <c r="AZ58" s="243"/>
      <c r="BA58" s="243"/>
      <c r="BB58" s="243"/>
      <c r="BC58" s="243"/>
      <c r="BD58" s="243"/>
      <c r="BE58" s="244"/>
    </row>
    <row r="59" spans="1:57" ht="12" customHeight="1" x14ac:dyDescent="0.2">
      <c r="A59" s="251" t="s">
        <v>297</v>
      </c>
      <c r="B59" s="251" t="s">
        <v>298</v>
      </c>
      <c r="D59" s="251" t="s">
        <v>290</v>
      </c>
      <c r="E59" s="251"/>
      <c r="F59" s="251" t="s">
        <v>299</v>
      </c>
      <c r="H59" s="255" t="str">
        <f>D59</f>
        <v>Curve 1</v>
      </c>
      <c r="I59" s="256" t="str">
        <f>B59</f>
        <v>p-value</v>
      </c>
      <c r="J59" s="242"/>
      <c r="K59" s="242"/>
      <c r="L59" s="242"/>
      <c r="M59" s="242"/>
      <c r="N59" s="242"/>
      <c r="O59" s="242"/>
      <c r="P59" s="242"/>
      <c r="Q59" s="242"/>
      <c r="R59" s="242"/>
      <c r="S59" s="242"/>
      <c r="T59" s="242"/>
      <c r="U59" s="242"/>
      <c r="V59" s="242"/>
      <c r="W59" s="242"/>
      <c r="X59" s="242"/>
      <c r="Y59" s="242"/>
      <c r="Z59" s="242"/>
      <c r="AA59" s="242"/>
      <c r="AB59" s="242"/>
      <c r="AC59" s="242"/>
      <c r="AD59" s="242"/>
      <c r="AE59" s="242"/>
      <c r="AF59" s="242"/>
      <c r="AG59" s="242"/>
      <c r="AH59" s="242"/>
      <c r="AI59" s="242"/>
      <c r="AJ59" s="242"/>
      <c r="AK59" s="242"/>
      <c r="AL59" s="242"/>
      <c r="AM59" s="242"/>
      <c r="AN59" s="242"/>
      <c r="AO59" s="242"/>
      <c r="AP59" s="242"/>
      <c r="AQ59" s="242"/>
      <c r="AR59" s="242"/>
      <c r="AS59" s="242"/>
      <c r="AT59" s="242"/>
      <c r="AU59" s="242"/>
      <c r="AV59" s="242"/>
      <c r="AW59" s="242"/>
      <c r="AX59" s="243"/>
      <c r="AY59" s="243"/>
      <c r="AZ59" s="243"/>
      <c r="BA59" s="243"/>
      <c r="BB59" s="243"/>
      <c r="BC59" s="243"/>
      <c r="BD59" s="243"/>
      <c r="BE59" s="244"/>
    </row>
    <row r="60" spans="1:57" ht="12" customHeight="1" x14ac:dyDescent="0.2">
      <c r="A60" s="250">
        <v>2.9</v>
      </c>
      <c r="B60" s="250">
        <f t="shared" ref="B60:B118" si="0">C60</f>
        <v>3.7312000000000001E-3</v>
      </c>
      <c r="C60" s="250">
        <v>3.7312000000000001E-3</v>
      </c>
      <c r="D60" s="250" t="e">
        <f t="shared" ref="D60:D89" si="1">EXP(LN($K$52) - A60*($K$55))</f>
        <v>#DIV/0!</v>
      </c>
      <c r="E60" s="250"/>
      <c r="F60" s="251"/>
      <c r="G60" s="251"/>
      <c r="H60" s="255" t="e">
        <f t="shared" ref="H60:H118" si="2">D60</f>
        <v>#DIV/0!</v>
      </c>
      <c r="I60" s="256">
        <f t="shared" ref="I60:I118" si="3">B60</f>
        <v>3.7312000000000001E-3</v>
      </c>
      <c r="J60" s="242"/>
      <c r="K60" s="242"/>
      <c r="L60" s="242"/>
      <c r="M60" s="242"/>
      <c r="N60" s="242"/>
      <c r="O60" s="242"/>
      <c r="P60" s="242"/>
      <c r="Q60" s="242"/>
      <c r="R60" s="242"/>
      <c r="S60" s="242"/>
      <c r="T60" s="242"/>
      <c r="U60" s="242"/>
      <c r="V60" s="242"/>
      <c r="W60" s="242"/>
      <c r="X60" s="242"/>
      <c r="Y60" s="242"/>
      <c r="Z60" s="242"/>
      <c r="AA60" s="242"/>
      <c r="AB60" s="242"/>
      <c r="AC60" s="242"/>
      <c r="AD60" s="242"/>
      <c r="AE60" s="242"/>
      <c r="AF60" s="242"/>
      <c r="AG60" s="242"/>
      <c r="AH60" s="242"/>
      <c r="AI60" s="242"/>
      <c r="AJ60" s="242"/>
      <c r="AK60" s="242"/>
      <c r="AL60" s="242"/>
      <c r="AM60" s="242"/>
      <c r="AN60" s="242"/>
      <c r="AO60" s="242"/>
      <c r="AP60" s="242"/>
      <c r="AQ60" s="242"/>
      <c r="AR60" s="242"/>
      <c r="AS60" s="242"/>
      <c r="AT60" s="242"/>
      <c r="AU60" s="242"/>
      <c r="AV60" s="242"/>
      <c r="AW60" s="242"/>
      <c r="AX60" s="243"/>
      <c r="AY60" s="243"/>
      <c r="AZ60" s="243"/>
      <c r="BA60" s="243"/>
      <c r="BB60" s="243"/>
      <c r="BC60" s="243"/>
      <c r="BD60" s="243"/>
      <c r="BE60" s="244"/>
    </row>
    <row r="61" spans="1:57" ht="12" customHeight="1" x14ac:dyDescent="0.2">
      <c r="A61" s="250">
        <v>2.8</v>
      </c>
      <c r="B61" s="250">
        <f t="shared" si="0"/>
        <v>5.1098999999999997E-3</v>
      </c>
      <c r="C61" s="250">
        <v>5.1098999999999997E-3</v>
      </c>
      <c r="D61" s="250" t="e">
        <f t="shared" si="1"/>
        <v>#DIV/0!</v>
      </c>
      <c r="E61" s="250"/>
      <c r="F61" s="251"/>
      <c r="G61" s="251"/>
      <c r="H61" s="255" t="e">
        <f t="shared" si="2"/>
        <v>#DIV/0!</v>
      </c>
      <c r="I61" s="256">
        <f t="shared" si="3"/>
        <v>5.1098999999999997E-3</v>
      </c>
      <c r="J61" s="242"/>
      <c r="K61" s="242"/>
      <c r="L61" s="242"/>
      <c r="M61" s="242"/>
      <c r="N61" s="242"/>
      <c r="O61" s="242"/>
      <c r="P61" s="242"/>
      <c r="Q61" s="242"/>
      <c r="R61" s="242"/>
      <c r="S61" s="242"/>
      <c r="T61" s="242"/>
      <c r="U61" s="242"/>
      <c r="V61" s="242"/>
      <c r="W61" s="242"/>
      <c r="X61" s="242"/>
      <c r="Y61" s="242"/>
      <c r="Z61" s="242"/>
      <c r="AA61" s="242"/>
      <c r="AB61" s="242"/>
      <c r="AC61" s="242"/>
      <c r="AD61" s="242"/>
      <c r="AE61" s="242"/>
      <c r="AF61" s="242"/>
      <c r="AG61" s="242"/>
      <c r="AH61" s="242"/>
      <c r="AI61" s="242"/>
      <c r="AJ61" s="242"/>
      <c r="AK61" s="242"/>
      <c r="AL61" s="242"/>
      <c r="AM61" s="242"/>
      <c r="AN61" s="242"/>
      <c r="AO61" s="242"/>
      <c r="AP61" s="242"/>
      <c r="AQ61" s="242"/>
      <c r="AR61" s="242"/>
      <c r="AS61" s="242"/>
      <c r="AT61" s="242"/>
      <c r="AU61" s="242"/>
      <c r="AV61" s="242"/>
      <c r="AW61" s="242"/>
      <c r="AX61" s="243"/>
      <c r="AY61" s="243"/>
      <c r="AZ61" s="243"/>
      <c r="BA61" s="243"/>
      <c r="BB61" s="243"/>
      <c r="BC61" s="243"/>
      <c r="BD61" s="243"/>
      <c r="BE61" s="244"/>
    </row>
    <row r="62" spans="1:57" ht="12" customHeight="1" x14ac:dyDescent="0.2">
      <c r="A62" s="250">
        <v>2.7</v>
      </c>
      <c r="B62" s="250">
        <f t="shared" si="0"/>
        <v>6.9335000000000004E-3</v>
      </c>
      <c r="C62" s="250">
        <v>6.9335000000000004E-3</v>
      </c>
      <c r="D62" s="250" t="e">
        <f t="shared" si="1"/>
        <v>#DIV/0!</v>
      </c>
      <c r="E62" s="250"/>
      <c r="F62" s="251"/>
      <c r="G62" s="251"/>
      <c r="H62" s="255" t="e">
        <f t="shared" si="2"/>
        <v>#DIV/0!</v>
      </c>
      <c r="I62" s="256">
        <f t="shared" si="3"/>
        <v>6.9335000000000004E-3</v>
      </c>
      <c r="J62" s="242"/>
      <c r="K62" s="242"/>
      <c r="L62" s="242"/>
      <c r="M62" s="242"/>
      <c r="N62" s="242"/>
      <c r="O62" s="242"/>
      <c r="P62" s="242"/>
      <c r="Q62" s="242"/>
      <c r="R62" s="242"/>
      <c r="S62" s="242"/>
      <c r="T62" s="242"/>
      <c r="U62" s="242"/>
      <c r="V62" s="242"/>
      <c r="W62" s="242"/>
      <c r="X62" s="242"/>
      <c r="Y62" s="242"/>
      <c r="Z62" s="242"/>
      <c r="AA62" s="242"/>
      <c r="AB62" s="242"/>
      <c r="AC62" s="242"/>
      <c r="AD62" s="242"/>
      <c r="AE62" s="242"/>
      <c r="AF62" s="242"/>
      <c r="AG62" s="242"/>
      <c r="AH62" s="242"/>
      <c r="AI62" s="242"/>
      <c r="AJ62" s="242"/>
      <c r="AK62" s="242"/>
      <c r="AL62" s="242"/>
      <c r="AM62" s="242"/>
      <c r="AN62" s="242"/>
      <c r="AO62" s="242"/>
      <c r="AP62" s="242"/>
      <c r="AQ62" s="242"/>
      <c r="AR62" s="242"/>
      <c r="AS62" s="242"/>
      <c r="AT62" s="242"/>
      <c r="AU62" s="242"/>
      <c r="AV62" s="242"/>
      <c r="AW62" s="242"/>
      <c r="AX62" s="243"/>
      <c r="AY62" s="243"/>
      <c r="AZ62" s="243"/>
      <c r="BA62" s="243"/>
      <c r="BB62" s="243"/>
      <c r="BC62" s="243"/>
      <c r="BD62" s="243"/>
      <c r="BE62" s="244"/>
    </row>
    <row r="63" spans="1:57" ht="12" customHeight="1" x14ac:dyDescent="0.2">
      <c r="A63" s="250">
        <v>2.6</v>
      </c>
      <c r="B63" s="250">
        <f t="shared" si="0"/>
        <v>9.3220000000000004E-3</v>
      </c>
      <c r="C63" s="250">
        <v>9.3220000000000004E-3</v>
      </c>
      <c r="D63" s="250" t="e">
        <f t="shared" si="1"/>
        <v>#DIV/0!</v>
      </c>
      <c r="E63" s="250"/>
      <c r="F63" s="251"/>
      <c r="G63" s="251"/>
      <c r="H63" s="255" t="e">
        <f t="shared" si="2"/>
        <v>#DIV/0!</v>
      </c>
      <c r="I63" s="256">
        <f t="shared" si="3"/>
        <v>9.3220000000000004E-3</v>
      </c>
      <c r="J63" s="242"/>
      <c r="K63" s="242"/>
      <c r="L63" s="242"/>
      <c r="M63" s="242"/>
      <c r="N63" s="242"/>
      <c r="O63" s="242"/>
      <c r="P63" s="242"/>
      <c r="Q63" s="242"/>
      <c r="R63" s="242"/>
      <c r="S63" s="242"/>
      <c r="T63" s="242"/>
      <c r="U63" s="242"/>
      <c r="V63" s="242"/>
      <c r="W63" s="242"/>
      <c r="X63" s="242"/>
      <c r="Y63" s="242"/>
      <c r="Z63" s="242"/>
      <c r="AA63" s="242"/>
      <c r="AB63" s="242"/>
      <c r="AC63" s="242"/>
      <c r="AD63" s="242"/>
      <c r="AE63" s="242"/>
      <c r="AF63" s="242"/>
      <c r="AG63" s="242"/>
      <c r="AH63" s="242"/>
      <c r="AI63" s="242"/>
      <c r="AJ63" s="242"/>
      <c r="AK63" s="242"/>
      <c r="AL63" s="242"/>
      <c r="AM63" s="242"/>
      <c r="AN63" s="242"/>
      <c r="AO63" s="242"/>
      <c r="AP63" s="242"/>
      <c r="AQ63" s="242"/>
      <c r="AR63" s="242"/>
      <c r="AS63" s="242"/>
      <c r="AT63" s="242"/>
      <c r="AU63" s="242"/>
      <c r="AV63" s="242"/>
      <c r="AW63" s="242"/>
      <c r="AX63" s="243"/>
      <c r="AY63" s="243"/>
      <c r="AZ63" s="243"/>
      <c r="BA63" s="243"/>
      <c r="BB63" s="243"/>
      <c r="BC63" s="243"/>
      <c r="BD63" s="243"/>
      <c r="BE63" s="244"/>
    </row>
    <row r="64" spans="1:57" ht="12" customHeight="1" x14ac:dyDescent="0.2">
      <c r="A64" s="250">
        <v>2.5</v>
      </c>
      <c r="B64" s="250">
        <f t="shared" si="0"/>
        <v>1.24189E-2</v>
      </c>
      <c r="C64" s="250">
        <v>1.24189E-2</v>
      </c>
      <c r="D64" s="250" t="e">
        <f t="shared" si="1"/>
        <v>#DIV/0!</v>
      </c>
      <c r="E64" s="250"/>
      <c r="F64" s="251"/>
      <c r="G64" s="251"/>
      <c r="H64" s="255" t="e">
        <f t="shared" si="2"/>
        <v>#DIV/0!</v>
      </c>
      <c r="I64" s="256">
        <f t="shared" si="3"/>
        <v>1.24189E-2</v>
      </c>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3"/>
      <c r="AY64" s="243"/>
      <c r="AZ64" s="243"/>
      <c r="BA64" s="243"/>
      <c r="BB64" s="243"/>
      <c r="BC64" s="243"/>
      <c r="BD64" s="243"/>
      <c r="BE64" s="244"/>
    </row>
    <row r="65" spans="1:57" ht="12" customHeight="1" x14ac:dyDescent="0.2">
      <c r="A65" s="250">
        <v>2.4</v>
      </c>
      <c r="B65" s="250">
        <f t="shared" si="0"/>
        <v>1.6394700000000002E-2</v>
      </c>
      <c r="C65" s="250">
        <v>1.6394700000000002E-2</v>
      </c>
      <c r="D65" s="250" t="e">
        <f t="shared" si="1"/>
        <v>#DIV/0!</v>
      </c>
      <c r="E65" s="250"/>
      <c r="F65" s="251"/>
      <c r="G65" s="251"/>
      <c r="H65" s="255" t="e">
        <f t="shared" si="2"/>
        <v>#DIV/0!</v>
      </c>
      <c r="I65" s="256">
        <f t="shared" si="3"/>
        <v>1.6394700000000002E-2</v>
      </c>
      <c r="J65" s="242"/>
      <c r="K65" s="242"/>
      <c r="L65" s="242"/>
      <c r="M65" s="242"/>
      <c r="N65" s="242"/>
      <c r="O65" s="242"/>
      <c r="P65" s="242"/>
      <c r="Q65" s="242"/>
      <c r="R65" s="242"/>
      <c r="S65" s="242"/>
      <c r="T65" s="242"/>
      <c r="U65" s="242"/>
      <c r="V65" s="242"/>
      <c r="W65" s="242"/>
      <c r="X65" s="242"/>
      <c r="Y65" s="242"/>
      <c r="Z65" s="242"/>
      <c r="AA65" s="242"/>
      <c r="AB65" s="242"/>
      <c r="AC65" s="242"/>
      <c r="AD65" s="242"/>
      <c r="AE65" s="242"/>
      <c r="AF65" s="242"/>
      <c r="AG65" s="242"/>
      <c r="AH65" s="242"/>
      <c r="AI65" s="242"/>
      <c r="AJ65" s="242"/>
      <c r="AK65" s="242"/>
      <c r="AL65" s="242"/>
      <c r="AM65" s="242"/>
      <c r="AN65" s="242"/>
      <c r="AO65" s="242"/>
      <c r="AP65" s="242"/>
      <c r="AQ65" s="242"/>
      <c r="AR65" s="242"/>
      <c r="AS65" s="242"/>
      <c r="AT65" s="242"/>
      <c r="AU65" s="242"/>
      <c r="AV65" s="242"/>
      <c r="AW65" s="242"/>
      <c r="AX65" s="243"/>
      <c r="AY65" s="243"/>
      <c r="AZ65" s="243"/>
      <c r="BA65" s="243"/>
      <c r="BB65" s="243"/>
      <c r="BC65" s="243"/>
      <c r="BD65" s="243"/>
      <c r="BE65" s="244"/>
    </row>
    <row r="66" spans="1:57" ht="12" customHeight="1" x14ac:dyDescent="0.2">
      <c r="A66" s="250">
        <v>2.2999999999999998</v>
      </c>
      <c r="B66" s="250">
        <f t="shared" si="0"/>
        <v>2.14478E-2</v>
      </c>
      <c r="C66" s="250">
        <v>2.14478E-2</v>
      </c>
      <c r="D66" s="250" t="e">
        <f t="shared" si="1"/>
        <v>#DIV/0!</v>
      </c>
      <c r="E66" s="250"/>
      <c r="F66" s="251"/>
      <c r="G66" s="251"/>
      <c r="H66" s="255" t="e">
        <f t="shared" si="2"/>
        <v>#DIV/0!</v>
      </c>
      <c r="I66" s="256">
        <f t="shared" si="3"/>
        <v>2.14478E-2</v>
      </c>
      <c r="J66" s="242"/>
      <c r="K66" s="242"/>
      <c r="L66" s="242"/>
      <c r="M66" s="242"/>
      <c r="N66" s="242"/>
      <c r="O66" s="242"/>
      <c r="P66" s="242"/>
      <c r="Q66" s="242"/>
      <c r="R66" s="242"/>
      <c r="S66" s="242"/>
      <c r="T66" s="242"/>
      <c r="U66" s="242"/>
      <c r="V66" s="242"/>
      <c r="W66" s="242"/>
      <c r="X66" s="242"/>
      <c r="Y66" s="242"/>
      <c r="Z66" s="242"/>
      <c r="AA66" s="242"/>
      <c r="AB66" s="242"/>
      <c r="AC66" s="242"/>
      <c r="AD66" s="242"/>
      <c r="AE66" s="242"/>
      <c r="AF66" s="242"/>
      <c r="AG66" s="242"/>
      <c r="AH66" s="242"/>
      <c r="AI66" s="242"/>
      <c r="AJ66" s="242"/>
      <c r="AK66" s="242"/>
      <c r="AL66" s="242"/>
      <c r="AM66" s="242"/>
      <c r="AN66" s="242"/>
      <c r="AO66" s="242"/>
      <c r="AP66" s="242"/>
      <c r="AQ66" s="242"/>
      <c r="AR66" s="242"/>
      <c r="AS66" s="242"/>
      <c r="AT66" s="242"/>
      <c r="AU66" s="242"/>
      <c r="AV66" s="242"/>
      <c r="AW66" s="242"/>
      <c r="AX66" s="243"/>
      <c r="AY66" s="243"/>
      <c r="AZ66" s="243"/>
      <c r="BA66" s="243"/>
      <c r="BB66" s="243"/>
      <c r="BC66" s="243"/>
      <c r="BD66" s="243"/>
      <c r="BE66" s="244"/>
    </row>
    <row r="67" spans="1:57" ht="12" customHeight="1" x14ac:dyDescent="0.2">
      <c r="A67" s="250">
        <v>2.2000000000000002</v>
      </c>
      <c r="B67" s="250">
        <f t="shared" si="0"/>
        <v>2.7806500000000001E-2</v>
      </c>
      <c r="C67" s="250">
        <v>2.7806500000000001E-2</v>
      </c>
      <c r="D67" s="250" t="e">
        <f t="shared" si="1"/>
        <v>#DIV/0!</v>
      </c>
      <c r="E67" s="250"/>
      <c r="F67" s="251"/>
      <c r="G67" s="251"/>
      <c r="H67" s="255" t="e">
        <f t="shared" si="2"/>
        <v>#DIV/0!</v>
      </c>
      <c r="I67" s="256">
        <f t="shared" si="3"/>
        <v>2.7806500000000001E-2</v>
      </c>
      <c r="J67" s="242"/>
      <c r="K67" s="242"/>
      <c r="L67" s="242"/>
      <c r="M67" s="242"/>
      <c r="N67" s="242"/>
      <c r="O67" s="242"/>
      <c r="P67" s="242"/>
      <c r="Q67" s="242"/>
      <c r="R67" s="242"/>
      <c r="S67" s="242"/>
      <c r="T67" s="242"/>
      <c r="U67" s="242"/>
      <c r="V67" s="242"/>
      <c r="W67" s="242"/>
      <c r="X67" s="242"/>
      <c r="Y67" s="242"/>
      <c r="Z67" s="242"/>
      <c r="AA67" s="242"/>
      <c r="AB67" s="242"/>
      <c r="AC67" s="242"/>
      <c r="AD67" s="242"/>
      <c r="AE67" s="242"/>
      <c r="AF67" s="242"/>
      <c r="AG67" s="242"/>
      <c r="AH67" s="242"/>
      <c r="AI67" s="242"/>
      <c r="AJ67" s="242"/>
      <c r="AK67" s="242"/>
      <c r="AL67" s="242"/>
      <c r="AM67" s="242"/>
      <c r="AN67" s="242"/>
      <c r="AO67" s="242"/>
      <c r="AP67" s="242"/>
      <c r="AQ67" s="242"/>
      <c r="AR67" s="242"/>
      <c r="AS67" s="242"/>
      <c r="AT67" s="242"/>
      <c r="AU67" s="242"/>
      <c r="AV67" s="242"/>
      <c r="AW67" s="242"/>
      <c r="AX67" s="243"/>
      <c r="AY67" s="243"/>
      <c r="AZ67" s="243"/>
      <c r="BA67" s="243"/>
      <c r="BB67" s="243"/>
      <c r="BC67" s="243"/>
      <c r="BD67" s="243"/>
      <c r="BE67" s="244"/>
    </row>
    <row r="68" spans="1:57" ht="12" customHeight="1" x14ac:dyDescent="0.2">
      <c r="A68" s="250">
        <v>2.1</v>
      </c>
      <c r="B68" s="250">
        <f t="shared" si="0"/>
        <v>3.57284E-2</v>
      </c>
      <c r="C68" s="250">
        <v>3.57284E-2</v>
      </c>
      <c r="D68" s="250" t="e">
        <f t="shared" si="1"/>
        <v>#DIV/0!</v>
      </c>
      <c r="E68" s="250"/>
      <c r="F68" s="251"/>
      <c r="G68" s="251"/>
      <c r="H68" s="255" t="e">
        <f t="shared" si="2"/>
        <v>#DIV/0!</v>
      </c>
      <c r="I68" s="256">
        <f t="shared" si="3"/>
        <v>3.57284E-2</v>
      </c>
      <c r="J68" s="242"/>
      <c r="K68" s="242"/>
      <c r="L68" s="242"/>
      <c r="M68" s="242"/>
      <c r="N68" s="242"/>
      <c r="O68" s="242"/>
      <c r="P68" s="242"/>
      <c r="Q68" s="242"/>
      <c r="R68" s="242"/>
      <c r="S68" s="242"/>
      <c r="T68" s="242"/>
      <c r="U68" s="242"/>
      <c r="V68" s="242"/>
      <c r="W68" s="242"/>
      <c r="X68" s="242"/>
      <c r="Y68" s="242"/>
      <c r="Z68" s="242"/>
      <c r="AA68" s="242"/>
      <c r="AB68" s="242"/>
      <c r="AC68" s="242"/>
      <c r="AD68" s="242"/>
      <c r="AE68" s="242"/>
      <c r="AF68" s="242"/>
      <c r="AG68" s="242"/>
      <c r="AH68" s="242"/>
      <c r="AI68" s="242"/>
      <c r="AJ68" s="242"/>
      <c r="AK68" s="242"/>
      <c r="AL68" s="242"/>
      <c r="AM68" s="242"/>
      <c r="AN68" s="242"/>
      <c r="AO68" s="242"/>
      <c r="AP68" s="242"/>
      <c r="AQ68" s="242"/>
      <c r="AR68" s="242"/>
      <c r="AS68" s="242"/>
      <c r="AT68" s="242"/>
      <c r="AU68" s="242"/>
      <c r="AV68" s="242"/>
      <c r="AW68" s="242"/>
      <c r="AX68" s="243"/>
      <c r="AY68" s="243"/>
      <c r="AZ68" s="243"/>
      <c r="BA68" s="243"/>
      <c r="BB68" s="243"/>
      <c r="BC68" s="243"/>
      <c r="BD68" s="243"/>
      <c r="BE68" s="244"/>
    </row>
    <row r="69" spans="1:57" ht="12" customHeight="1" x14ac:dyDescent="0.2">
      <c r="A69" s="250">
        <v>2</v>
      </c>
      <c r="B69" s="250">
        <f t="shared" si="0"/>
        <v>4.5499900000000003E-2</v>
      </c>
      <c r="C69" s="250">
        <v>4.5499900000000003E-2</v>
      </c>
      <c r="D69" s="250" t="e">
        <f t="shared" si="1"/>
        <v>#DIV/0!</v>
      </c>
      <c r="E69" s="250"/>
      <c r="F69" s="251"/>
      <c r="G69" s="251"/>
      <c r="H69" s="255" t="e">
        <f t="shared" si="2"/>
        <v>#DIV/0!</v>
      </c>
      <c r="I69" s="256">
        <f t="shared" si="3"/>
        <v>4.5499900000000003E-2</v>
      </c>
      <c r="J69" s="242"/>
      <c r="K69" s="242"/>
      <c r="L69" s="242"/>
      <c r="M69" s="242"/>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242"/>
      <c r="AL69" s="242"/>
      <c r="AM69" s="242"/>
      <c r="AN69" s="242"/>
      <c r="AO69" s="242"/>
      <c r="AP69" s="242"/>
      <c r="AQ69" s="242"/>
      <c r="AR69" s="242"/>
      <c r="AS69" s="242"/>
      <c r="AT69" s="242"/>
      <c r="AU69" s="242"/>
      <c r="AV69" s="242"/>
      <c r="AW69" s="242"/>
      <c r="AX69" s="243"/>
      <c r="AY69" s="243"/>
      <c r="AZ69" s="243"/>
      <c r="BA69" s="243"/>
      <c r="BB69" s="243"/>
      <c r="BC69" s="243"/>
      <c r="BD69" s="243"/>
      <c r="BE69" s="244"/>
    </row>
    <row r="70" spans="1:57" ht="12" customHeight="1" x14ac:dyDescent="0.2">
      <c r="A70" s="250">
        <v>1.9</v>
      </c>
      <c r="B70" s="250">
        <f t="shared" si="0"/>
        <v>5.7432700000000003E-2</v>
      </c>
      <c r="C70" s="250">
        <v>5.7432700000000003E-2</v>
      </c>
      <c r="D70" s="250" t="e">
        <f t="shared" si="1"/>
        <v>#DIV/0!</v>
      </c>
      <c r="E70" s="250"/>
      <c r="F70" s="251"/>
      <c r="G70" s="251"/>
      <c r="H70" s="255" t="e">
        <f t="shared" si="2"/>
        <v>#DIV/0!</v>
      </c>
      <c r="I70" s="256">
        <f t="shared" si="3"/>
        <v>5.7432700000000003E-2</v>
      </c>
      <c r="J70" s="242"/>
      <c r="K70" s="242"/>
      <c r="L70" s="242"/>
      <c r="M70" s="242"/>
      <c r="N70" s="242"/>
      <c r="O70" s="242"/>
      <c r="P70" s="242"/>
      <c r="Q70" s="242"/>
      <c r="R70" s="242"/>
      <c r="S70" s="242"/>
      <c r="T70" s="242"/>
      <c r="U70" s="242"/>
      <c r="V70" s="242"/>
      <c r="W70" s="242"/>
      <c r="X70" s="242"/>
      <c r="Y70" s="242"/>
      <c r="Z70" s="242"/>
      <c r="AA70" s="242"/>
      <c r="AB70" s="242"/>
      <c r="AC70" s="242"/>
      <c r="AD70" s="242"/>
      <c r="AE70" s="242"/>
      <c r="AF70" s="242"/>
      <c r="AG70" s="242"/>
      <c r="AH70" s="242"/>
      <c r="AI70" s="242"/>
      <c r="AJ70" s="242"/>
      <c r="AK70" s="242"/>
      <c r="AL70" s="242"/>
      <c r="AM70" s="242"/>
      <c r="AN70" s="242"/>
      <c r="AO70" s="242"/>
      <c r="AP70" s="242"/>
      <c r="AQ70" s="242"/>
      <c r="AR70" s="242"/>
      <c r="AS70" s="242"/>
      <c r="AT70" s="242"/>
      <c r="AU70" s="242"/>
      <c r="AV70" s="242"/>
      <c r="AW70" s="242"/>
      <c r="AX70" s="243"/>
      <c r="AY70" s="243"/>
      <c r="AZ70" s="243"/>
      <c r="BA70" s="243"/>
      <c r="BB70" s="243"/>
      <c r="BC70" s="243"/>
      <c r="BD70" s="243"/>
      <c r="BE70" s="244"/>
    </row>
    <row r="71" spans="1:57" ht="12" customHeight="1" x14ac:dyDescent="0.2">
      <c r="A71" s="250">
        <v>1.8</v>
      </c>
      <c r="B71" s="250">
        <f t="shared" si="0"/>
        <v>7.1860300000000002E-2</v>
      </c>
      <c r="C71" s="250">
        <v>7.1860300000000002E-2</v>
      </c>
      <c r="D71" s="250" t="e">
        <f t="shared" si="1"/>
        <v>#DIV/0!</v>
      </c>
      <c r="E71" s="250"/>
      <c r="F71" s="251"/>
      <c r="G71" s="251"/>
      <c r="H71" s="255" t="e">
        <f t="shared" si="2"/>
        <v>#DIV/0!</v>
      </c>
      <c r="I71" s="256">
        <f t="shared" si="3"/>
        <v>7.1860300000000002E-2</v>
      </c>
      <c r="J71" s="242"/>
      <c r="K71" s="242"/>
      <c r="L71" s="242"/>
      <c r="M71" s="242"/>
      <c r="N71" s="242"/>
      <c r="O71" s="242"/>
      <c r="P71" s="242"/>
      <c r="Q71" s="242"/>
      <c r="R71" s="242"/>
      <c r="S71" s="242"/>
      <c r="T71" s="242"/>
      <c r="U71" s="242"/>
      <c r="V71" s="242"/>
      <c r="W71" s="242"/>
      <c r="X71" s="242"/>
      <c r="Y71" s="242"/>
      <c r="Z71" s="242"/>
      <c r="AA71" s="242"/>
      <c r="AB71" s="242"/>
      <c r="AC71" s="242"/>
      <c r="AD71" s="242"/>
      <c r="AE71" s="242"/>
      <c r="AF71" s="242"/>
      <c r="AG71" s="242"/>
      <c r="AH71" s="242"/>
      <c r="AI71" s="242"/>
      <c r="AJ71" s="242"/>
      <c r="AK71" s="242"/>
      <c r="AL71" s="242"/>
      <c r="AM71" s="242"/>
      <c r="AN71" s="242"/>
      <c r="AO71" s="242"/>
      <c r="AP71" s="242"/>
      <c r="AQ71" s="242"/>
      <c r="AR71" s="242"/>
      <c r="AS71" s="242"/>
      <c r="AT71" s="242"/>
      <c r="AU71" s="242"/>
      <c r="AV71" s="242"/>
      <c r="AW71" s="242"/>
      <c r="AX71" s="243"/>
      <c r="AY71" s="243"/>
      <c r="AZ71" s="243"/>
      <c r="BA71" s="243"/>
      <c r="BB71" s="243"/>
      <c r="BC71" s="243"/>
      <c r="BD71" s="243"/>
      <c r="BE71" s="244"/>
    </row>
    <row r="72" spans="1:57" ht="12" customHeight="1" x14ac:dyDescent="0.2">
      <c r="A72" s="250">
        <v>1.7</v>
      </c>
      <c r="B72" s="250">
        <f t="shared" si="0"/>
        <v>8.9130600000000004E-2</v>
      </c>
      <c r="C72" s="250">
        <v>8.9130600000000004E-2</v>
      </c>
      <c r="D72" s="250" t="e">
        <f t="shared" si="1"/>
        <v>#DIV/0!</v>
      </c>
      <c r="E72" s="250"/>
      <c r="F72" s="251"/>
      <c r="G72" s="251"/>
      <c r="H72" s="255" t="e">
        <f t="shared" si="2"/>
        <v>#DIV/0!</v>
      </c>
      <c r="I72" s="256">
        <f t="shared" si="3"/>
        <v>8.9130600000000004E-2</v>
      </c>
      <c r="J72" s="242"/>
      <c r="K72" s="242"/>
      <c r="L72" s="242"/>
      <c r="M72" s="242"/>
      <c r="N72" s="242"/>
      <c r="O72" s="242"/>
      <c r="P72" s="242"/>
      <c r="Q72" s="242"/>
      <c r="R72" s="242"/>
      <c r="S72" s="242"/>
      <c r="T72" s="242"/>
      <c r="U72" s="242"/>
      <c r="V72" s="242"/>
      <c r="W72" s="242"/>
      <c r="X72" s="242"/>
      <c r="Y72" s="242"/>
      <c r="Z72" s="242"/>
      <c r="AA72" s="242"/>
      <c r="AB72" s="242"/>
      <c r="AC72" s="242"/>
      <c r="AD72" s="242"/>
      <c r="AE72" s="242"/>
      <c r="AF72" s="242"/>
      <c r="AG72" s="242"/>
      <c r="AH72" s="242"/>
      <c r="AI72" s="242"/>
      <c r="AJ72" s="242"/>
      <c r="AK72" s="242"/>
      <c r="AL72" s="242"/>
      <c r="AM72" s="242"/>
      <c r="AN72" s="242"/>
      <c r="AO72" s="242"/>
      <c r="AP72" s="242"/>
      <c r="AQ72" s="242"/>
      <c r="AR72" s="242"/>
      <c r="AS72" s="242"/>
      <c r="AT72" s="242"/>
      <c r="AU72" s="242"/>
      <c r="AV72" s="242"/>
      <c r="AW72" s="242"/>
      <c r="AX72" s="243"/>
      <c r="AY72" s="243"/>
      <c r="AZ72" s="243"/>
      <c r="BA72" s="243"/>
      <c r="BB72" s="243"/>
      <c r="BC72" s="243"/>
      <c r="BD72" s="243"/>
      <c r="BE72" s="244"/>
    </row>
    <row r="73" spans="1:57" ht="12" customHeight="1" x14ac:dyDescent="0.2">
      <c r="A73" s="250">
        <v>1.6</v>
      </c>
      <c r="B73" s="250">
        <f t="shared" si="0"/>
        <v>0.10959820000000001</v>
      </c>
      <c r="C73" s="250">
        <v>0.10959820000000001</v>
      </c>
      <c r="D73" s="250" t="e">
        <f t="shared" si="1"/>
        <v>#DIV/0!</v>
      </c>
      <c r="E73" s="250"/>
      <c r="F73" s="251"/>
      <c r="G73" s="251"/>
      <c r="H73" s="255" t="e">
        <f t="shared" si="2"/>
        <v>#DIV/0!</v>
      </c>
      <c r="I73" s="256">
        <f t="shared" si="3"/>
        <v>0.10959820000000001</v>
      </c>
      <c r="J73" s="242"/>
      <c r="K73" s="242"/>
      <c r="L73" s="242"/>
      <c r="M73" s="242"/>
      <c r="N73" s="242"/>
      <c r="O73" s="242"/>
      <c r="P73" s="242"/>
      <c r="Q73" s="242"/>
      <c r="R73" s="242"/>
      <c r="S73" s="242"/>
      <c r="T73" s="242"/>
      <c r="U73" s="242"/>
      <c r="V73" s="242"/>
      <c r="W73" s="242"/>
      <c r="X73" s="242"/>
      <c r="Y73" s="242"/>
      <c r="Z73" s="242"/>
      <c r="AA73" s="242"/>
      <c r="AB73" s="242"/>
      <c r="AC73" s="242"/>
      <c r="AD73" s="242"/>
      <c r="AE73" s="242"/>
      <c r="AF73" s="242"/>
      <c r="AG73" s="242"/>
      <c r="AH73" s="242"/>
      <c r="AI73" s="242"/>
      <c r="AJ73" s="242"/>
      <c r="AK73" s="242"/>
      <c r="AL73" s="242"/>
      <c r="AM73" s="242"/>
      <c r="AN73" s="242"/>
      <c r="AO73" s="242"/>
      <c r="AP73" s="242"/>
      <c r="AQ73" s="242"/>
      <c r="AR73" s="242"/>
      <c r="AS73" s="242"/>
      <c r="AT73" s="242"/>
      <c r="AU73" s="242"/>
      <c r="AV73" s="242"/>
      <c r="AW73" s="242"/>
      <c r="AX73" s="243"/>
      <c r="AY73" s="243"/>
      <c r="AZ73" s="243"/>
      <c r="BA73" s="243"/>
      <c r="BB73" s="243"/>
      <c r="BC73" s="243"/>
      <c r="BD73" s="243"/>
      <c r="BE73" s="244"/>
    </row>
    <row r="74" spans="1:57" ht="12" customHeight="1" x14ac:dyDescent="0.2">
      <c r="A74" s="250">
        <v>1.5</v>
      </c>
      <c r="B74" s="250">
        <f t="shared" si="0"/>
        <v>0.13361400000000001</v>
      </c>
      <c r="C74" s="250">
        <v>0.13361400000000001</v>
      </c>
      <c r="D74" s="250" t="e">
        <f t="shared" si="1"/>
        <v>#DIV/0!</v>
      </c>
      <c r="E74" s="250"/>
      <c r="F74" s="251"/>
      <c r="G74" s="251"/>
      <c r="H74" s="255" t="e">
        <f t="shared" si="2"/>
        <v>#DIV/0!</v>
      </c>
      <c r="I74" s="256">
        <f t="shared" si="3"/>
        <v>0.13361400000000001</v>
      </c>
      <c r="J74" s="242"/>
      <c r="K74" s="242"/>
      <c r="L74" s="242"/>
      <c r="M74" s="242"/>
      <c r="N74" s="242"/>
      <c r="O74" s="242"/>
      <c r="P74" s="242"/>
      <c r="Q74" s="242"/>
      <c r="R74" s="242"/>
      <c r="S74" s="242"/>
      <c r="T74" s="242"/>
      <c r="U74" s="242"/>
      <c r="V74" s="242"/>
      <c r="W74" s="242"/>
      <c r="X74" s="242"/>
      <c r="Y74" s="242"/>
      <c r="Z74" s="242"/>
      <c r="AA74" s="242"/>
      <c r="AB74" s="242"/>
      <c r="AC74" s="242"/>
      <c r="AD74" s="242"/>
      <c r="AE74" s="242"/>
      <c r="AF74" s="242"/>
      <c r="AG74" s="242"/>
      <c r="AH74" s="242"/>
      <c r="AI74" s="242"/>
      <c r="AJ74" s="242"/>
      <c r="AK74" s="242"/>
      <c r="AL74" s="242"/>
      <c r="AM74" s="242"/>
      <c r="AN74" s="242"/>
      <c r="AO74" s="242"/>
      <c r="AP74" s="242"/>
      <c r="AQ74" s="242"/>
      <c r="AR74" s="242"/>
      <c r="AS74" s="242"/>
      <c r="AT74" s="242"/>
      <c r="AU74" s="242"/>
      <c r="AV74" s="242"/>
      <c r="AW74" s="242"/>
      <c r="AX74" s="243"/>
      <c r="AY74" s="243"/>
      <c r="AZ74" s="243"/>
      <c r="BA74" s="243"/>
      <c r="BB74" s="243"/>
      <c r="BC74" s="243"/>
      <c r="BD74" s="243"/>
      <c r="BE74" s="244"/>
    </row>
    <row r="75" spans="1:57" ht="12" customHeight="1" x14ac:dyDescent="0.2">
      <c r="A75" s="250">
        <v>1.4</v>
      </c>
      <c r="B75" s="250">
        <f t="shared" si="0"/>
        <v>0.16151299999999999</v>
      </c>
      <c r="C75" s="250">
        <v>0.16151299999999999</v>
      </c>
      <c r="D75" s="250" t="e">
        <f t="shared" si="1"/>
        <v>#DIV/0!</v>
      </c>
      <c r="E75" s="250"/>
      <c r="F75" s="251"/>
      <c r="G75" s="251"/>
      <c r="H75" s="255" t="e">
        <f t="shared" si="2"/>
        <v>#DIV/0!</v>
      </c>
      <c r="I75" s="256">
        <f t="shared" si="3"/>
        <v>0.16151299999999999</v>
      </c>
      <c r="J75" s="254"/>
      <c r="K75" s="254"/>
      <c r="L75" s="254"/>
      <c r="M75" s="254"/>
      <c r="N75" s="254"/>
      <c r="O75" s="254"/>
      <c r="P75" s="254"/>
      <c r="Q75" s="254"/>
      <c r="R75" s="254"/>
      <c r="S75" s="254"/>
      <c r="T75" s="254"/>
      <c r="U75" s="254"/>
      <c r="V75" s="254"/>
      <c r="W75" s="254"/>
      <c r="X75" s="254"/>
      <c r="Y75" s="254"/>
      <c r="Z75" s="254"/>
      <c r="AA75" s="254"/>
      <c r="AB75" s="254"/>
      <c r="AC75" s="254"/>
      <c r="AD75" s="254"/>
      <c r="AE75" s="254"/>
      <c r="AF75" s="254"/>
      <c r="AG75" s="254"/>
      <c r="AH75" s="254"/>
      <c r="AI75" s="254"/>
      <c r="AJ75" s="254"/>
      <c r="AK75" s="254"/>
      <c r="AL75" s="254"/>
      <c r="AM75" s="254"/>
      <c r="AN75" s="254"/>
      <c r="AO75" s="254"/>
      <c r="AP75" s="254"/>
      <c r="AQ75" s="254"/>
      <c r="AR75" s="254"/>
      <c r="AS75" s="254"/>
      <c r="AT75" s="254"/>
      <c r="AU75" s="254"/>
      <c r="AV75" s="254"/>
      <c r="AW75" s="254"/>
      <c r="AX75" s="228"/>
      <c r="AY75" s="228"/>
      <c r="AZ75" s="228"/>
      <c r="BA75" s="228"/>
      <c r="BB75" s="228"/>
      <c r="BC75" s="228"/>
      <c r="BD75" s="228"/>
    </row>
    <row r="76" spans="1:57" ht="12" customHeight="1" x14ac:dyDescent="0.2">
      <c r="A76" s="250">
        <v>1.3</v>
      </c>
      <c r="B76" s="250">
        <f t="shared" si="0"/>
        <v>0.19360060000000001</v>
      </c>
      <c r="C76" s="250">
        <v>0.19360060000000001</v>
      </c>
      <c r="D76" s="250" t="e">
        <f t="shared" si="1"/>
        <v>#DIV/0!</v>
      </c>
      <c r="E76" s="250"/>
      <c r="F76" s="251"/>
      <c r="G76" s="251"/>
      <c r="H76" s="255" t="e">
        <f t="shared" si="2"/>
        <v>#DIV/0!</v>
      </c>
      <c r="I76" s="256">
        <f t="shared" si="3"/>
        <v>0.19360060000000001</v>
      </c>
      <c r="J76" s="254"/>
      <c r="K76" s="254"/>
      <c r="L76" s="254"/>
      <c r="M76" s="254"/>
      <c r="N76" s="254"/>
      <c r="O76" s="254"/>
      <c r="P76" s="254"/>
      <c r="Q76" s="254"/>
      <c r="R76" s="254"/>
      <c r="S76" s="254"/>
      <c r="T76" s="254"/>
      <c r="U76" s="254"/>
      <c r="V76" s="254"/>
      <c r="W76" s="254"/>
      <c r="X76" s="254"/>
      <c r="Y76" s="254"/>
      <c r="Z76" s="254"/>
      <c r="AA76" s="254"/>
      <c r="AB76" s="254"/>
      <c r="AC76" s="254"/>
      <c r="AD76" s="254"/>
      <c r="AE76" s="254"/>
      <c r="AF76" s="254"/>
      <c r="AG76" s="254"/>
      <c r="AH76" s="254"/>
      <c r="AI76" s="254"/>
      <c r="AJ76" s="254"/>
      <c r="AK76" s="254"/>
      <c r="AL76" s="254"/>
      <c r="AM76" s="254"/>
      <c r="AN76" s="254"/>
      <c r="AO76" s="254"/>
      <c r="AP76" s="254"/>
      <c r="AQ76" s="254"/>
      <c r="AR76" s="254"/>
      <c r="AS76" s="254"/>
      <c r="AT76" s="254"/>
      <c r="AU76" s="254"/>
      <c r="AV76" s="254"/>
      <c r="AW76" s="254"/>
      <c r="AX76" s="228"/>
      <c r="AY76" s="228"/>
      <c r="AZ76" s="228"/>
      <c r="BA76" s="228"/>
      <c r="BB76" s="228"/>
      <c r="BC76" s="228"/>
      <c r="BD76" s="228"/>
    </row>
    <row r="77" spans="1:57" ht="12" customHeight="1" x14ac:dyDescent="0.2">
      <c r="A77" s="250">
        <v>1.2</v>
      </c>
      <c r="B77" s="250">
        <f t="shared" si="0"/>
        <v>0.23013900000000001</v>
      </c>
      <c r="C77" s="250">
        <v>0.23013900000000001</v>
      </c>
      <c r="D77" s="250" t="e">
        <f t="shared" si="1"/>
        <v>#DIV/0!</v>
      </c>
      <c r="E77" s="250"/>
      <c r="F77" s="251"/>
      <c r="G77" s="251"/>
      <c r="H77" s="255" t="e">
        <f t="shared" si="2"/>
        <v>#DIV/0!</v>
      </c>
      <c r="I77" s="256">
        <f t="shared" si="3"/>
        <v>0.23013900000000001</v>
      </c>
      <c r="J77" s="254"/>
      <c r="K77" s="254"/>
      <c r="L77" s="254"/>
      <c r="M77" s="254"/>
      <c r="N77" s="254"/>
      <c r="O77" s="254"/>
      <c r="P77" s="254"/>
      <c r="Q77" s="254"/>
      <c r="R77" s="254"/>
      <c r="S77" s="254"/>
      <c r="T77" s="254"/>
      <c r="U77" s="254"/>
      <c r="V77" s="254"/>
      <c r="W77" s="254"/>
      <c r="X77" s="254"/>
      <c r="Y77" s="254"/>
      <c r="Z77" s="254"/>
      <c r="AA77" s="254"/>
      <c r="AB77" s="254"/>
      <c r="AC77" s="254"/>
      <c r="AD77" s="254"/>
      <c r="AE77" s="254"/>
      <c r="AF77" s="254"/>
      <c r="AG77" s="254"/>
      <c r="AH77" s="254"/>
      <c r="AI77" s="254"/>
      <c r="AJ77" s="254"/>
      <c r="AK77" s="254"/>
      <c r="AL77" s="254"/>
      <c r="AM77" s="254"/>
      <c r="AN77" s="254"/>
      <c r="AO77" s="254"/>
      <c r="AP77" s="254"/>
      <c r="AQ77" s="254"/>
      <c r="AR77" s="254"/>
      <c r="AS77" s="254"/>
      <c r="AT77" s="254"/>
      <c r="AU77" s="254"/>
      <c r="AV77" s="254"/>
      <c r="AW77" s="254"/>
      <c r="AX77" s="228"/>
      <c r="AY77" s="228"/>
      <c r="AZ77" s="228"/>
      <c r="BA77" s="228"/>
      <c r="BB77" s="228"/>
      <c r="BC77" s="228"/>
      <c r="BD77" s="228"/>
    </row>
    <row r="78" spans="1:57" ht="12" customHeight="1" x14ac:dyDescent="0.2">
      <c r="A78" s="250">
        <v>1.1000000000000001</v>
      </c>
      <c r="B78" s="250">
        <f t="shared" si="0"/>
        <v>0.27133180000000001</v>
      </c>
      <c r="C78" s="250">
        <v>0.27133180000000001</v>
      </c>
      <c r="D78" s="250" t="e">
        <f t="shared" si="1"/>
        <v>#DIV/0!</v>
      </c>
      <c r="E78" s="250"/>
      <c r="F78" s="251"/>
      <c r="G78" s="251"/>
      <c r="H78" s="255" t="e">
        <f t="shared" si="2"/>
        <v>#DIV/0!</v>
      </c>
      <c r="I78" s="256">
        <f t="shared" si="3"/>
        <v>0.27133180000000001</v>
      </c>
      <c r="J78" s="254"/>
      <c r="K78" s="254"/>
      <c r="L78" s="254"/>
      <c r="M78" s="254"/>
      <c r="N78" s="254"/>
      <c r="O78" s="254"/>
      <c r="P78" s="254"/>
      <c r="Q78" s="254"/>
      <c r="R78" s="254"/>
      <c r="S78" s="254"/>
      <c r="T78" s="254"/>
      <c r="U78" s="254"/>
      <c r="V78" s="254"/>
      <c r="W78" s="254"/>
      <c r="X78" s="254"/>
      <c r="Y78" s="254"/>
      <c r="Z78" s="254"/>
      <c r="AA78" s="254"/>
      <c r="AB78" s="254"/>
      <c r="AC78" s="254"/>
      <c r="AD78" s="254"/>
      <c r="AE78" s="254"/>
      <c r="AF78" s="254"/>
      <c r="AG78" s="254"/>
      <c r="AH78" s="254"/>
      <c r="AI78" s="254"/>
      <c r="AJ78" s="254"/>
      <c r="AK78" s="254"/>
      <c r="AL78" s="254"/>
      <c r="AM78" s="254"/>
      <c r="AN78" s="254"/>
      <c r="AO78" s="254"/>
      <c r="AP78" s="254"/>
      <c r="AQ78" s="254"/>
      <c r="AR78" s="254"/>
      <c r="AS78" s="254"/>
      <c r="AT78" s="254"/>
      <c r="AU78" s="254"/>
      <c r="AV78" s="254"/>
      <c r="AW78" s="254"/>
      <c r="AX78" s="228"/>
      <c r="AY78" s="228"/>
      <c r="AZ78" s="228"/>
      <c r="BA78" s="228"/>
      <c r="BB78" s="228"/>
      <c r="BC78" s="228"/>
      <c r="BD78" s="228"/>
    </row>
    <row r="79" spans="1:57" ht="12" customHeight="1" x14ac:dyDescent="0.2">
      <c r="A79" s="250">
        <v>1</v>
      </c>
      <c r="B79" s="250">
        <f t="shared" si="0"/>
        <v>0.31731019999999999</v>
      </c>
      <c r="C79" s="250">
        <v>0.31731019999999999</v>
      </c>
      <c r="D79" s="250" t="e">
        <f t="shared" si="1"/>
        <v>#DIV/0!</v>
      </c>
      <c r="E79" s="250"/>
      <c r="F79" s="251"/>
      <c r="G79" s="251"/>
      <c r="H79" s="255" t="e">
        <f t="shared" si="2"/>
        <v>#DIV/0!</v>
      </c>
      <c r="I79" s="256">
        <f t="shared" si="3"/>
        <v>0.31731019999999999</v>
      </c>
      <c r="J79" s="254"/>
      <c r="K79" s="254"/>
      <c r="L79" s="254"/>
      <c r="M79" s="254"/>
      <c r="N79" s="254"/>
      <c r="O79" s="254"/>
      <c r="P79" s="254"/>
      <c r="Q79" s="254"/>
      <c r="R79" s="254"/>
      <c r="S79" s="254"/>
      <c r="T79" s="254"/>
      <c r="U79" s="254"/>
      <c r="V79" s="254"/>
      <c r="W79" s="254"/>
      <c r="X79" s="254"/>
      <c r="Y79" s="254"/>
      <c r="Z79" s="254"/>
      <c r="AA79" s="254"/>
      <c r="AB79" s="254"/>
      <c r="AC79" s="254"/>
      <c r="AD79" s="254"/>
      <c r="AE79" s="254"/>
      <c r="AF79" s="254"/>
      <c r="AG79" s="254"/>
      <c r="AH79" s="254"/>
      <c r="AI79" s="254"/>
      <c r="AJ79" s="254"/>
      <c r="AK79" s="254"/>
      <c r="AL79" s="254"/>
      <c r="AM79" s="254"/>
      <c r="AN79" s="254"/>
      <c r="AO79" s="254"/>
      <c r="AP79" s="254"/>
      <c r="AQ79" s="254"/>
      <c r="AR79" s="254"/>
      <c r="AS79" s="254"/>
      <c r="AT79" s="254"/>
      <c r="AU79" s="254"/>
      <c r="AV79" s="254"/>
      <c r="AW79" s="254"/>
      <c r="AX79" s="228"/>
      <c r="AY79" s="228"/>
      <c r="AZ79" s="228"/>
      <c r="BA79" s="228"/>
      <c r="BB79" s="228"/>
      <c r="BC79" s="228"/>
      <c r="BD79" s="228"/>
    </row>
    <row r="80" spans="1:57" ht="12" customHeight="1" x14ac:dyDescent="0.2">
      <c r="A80" s="250">
        <v>0.9</v>
      </c>
      <c r="B80" s="250">
        <f t="shared" si="0"/>
        <v>0.36812</v>
      </c>
      <c r="C80" s="250">
        <v>0.36812</v>
      </c>
      <c r="D80" s="250" t="e">
        <f t="shared" si="1"/>
        <v>#DIV/0!</v>
      </c>
      <c r="E80" s="250"/>
      <c r="F80" s="251"/>
      <c r="G80" s="251"/>
      <c r="H80" s="255" t="e">
        <f t="shared" si="2"/>
        <v>#DIV/0!</v>
      </c>
      <c r="I80" s="256">
        <f t="shared" si="3"/>
        <v>0.36812</v>
      </c>
      <c r="J80" s="254"/>
      <c r="K80" s="254"/>
      <c r="L80" s="254"/>
      <c r="M80" s="254"/>
      <c r="N80" s="254"/>
      <c r="O80" s="254"/>
      <c r="P80" s="254"/>
      <c r="Q80" s="254"/>
      <c r="R80" s="254"/>
      <c r="S80" s="254"/>
      <c r="T80" s="254"/>
      <c r="U80" s="254"/>
      <c r="V80" s="254"/>
      <c r="W80" s="254"/>
      <c r="X80" s="254"/>
      <c r="Y80" s="254"/>
      <c r="Z80" s="254"/>
      <c r="AA80" s="254"/>
      <c r="AB80" s="254"/>
      <c r="AC80" s="254"/>
      <c r="AD80" s="254"/>
      <c r="AE80" s="254"/>
      <c r="AF80" s="254"/>
      <c r="AG80" s="254"/>
      <c r="AH80" s="254"/>
      <c r="AI80" s="254"/>
      <c r="AJ80" s="254"/>
      <c r="AK80" s="254"/>
      <c r="AL80" s="254"/>
      <c r="AM80" s="254"/>
      <c r="AN80" s="254"/>
      <c r="AO80" s="254"/>
      <c r="AP80" s="254"/>
      <c r="AQ80" s="254"/>
      <c r="AR80" s="254"/>
      <c r="AS80" s="254"/>
      <c r="AT80" s="254"/>
      <c r="AU80" s="254"/>
      <c r="AV80" s="254"/>
      <c r="AW80" s="254"/>
      <c r="AX80" s="228"/>
      <c r="AY80" s="228"/>
      <c r="AZ80" s="228"/>
      <c r="BA80" s="228"/>
      <c r="BB80" s="228"/>
      <c r="BC80" s="228"/>
      <c r="BD80" s="228"/>
    </row>
    <row r="81" spans="1:56" ht="12" customHeight="1" x14ac:dyDescent="0.2">
      <c r="A81" s="250">
        <v>0.8</v>
      </c>
      <c r="B81" s="250">
        <f t="shared" si="0"/>
        <v>0.42371049999999999</v>
      </c>
      <c r="C81" s="250">
        <v>0.42371049999999999</v>
      </c>
      <c r="D81" s="250" t="e">
        <f t="shared" si="1"/>
        <v>#DIV/0!</v>
      </c>
      <c r="E81" s="250"/>
      <c r="F81" s="251"/>
      <c r="G81" s="251"/>
      <c r="H81" s="255" t="e">
        <f t="shared" si="2"/>
        <v>#DIV/0!</v>
      </c>
      <c r="I81" s="256">
        <f t="shared" si="3"/>
        <v>0.42371049999999999</v>
      </c>
      <c r="J81" s="254"/>
      <c r="K81" s="254"/>
      <c r="L81" s="254"/>
      <c r="M81" s="254"/>
      <c r="N81" s="254"/>
      <c r="O81" s="254"/>
      <c r="P81" s="254"/>
      <c r="Q81" s="254"/>
      <c r="R81" s="254"/>
      <c r="S81" s="254"/>
      <c r="T81" s="254"/>
      <c r="U81" s="254"/>
      <c r="V81" s="254"/>
      <c r="W81" s="254"/>
      <c r="X81" s="254"/>
      <c r="Y81" s="254"/>
      <c r="Z81" s="254"/>
      <c r="AA81" s="254"/>
      <c r="AB81" s="254"/>
      <c r="AC81" s="254"/>
      <c r="AD81" s="254"/>
      <c r="AE81" s="254"/>
      <c r="AF81" s="254"/>
      <c r="AG81" s="254"/>
      <c r="AH81" s="254"/>
      <c r="AI81" s="254"/>
      <c r="AJ81" s="254"/>
      <c r="AK81" s="254"/>
      <c r="AL81" s="254"/>
      <c r="AM81" s="254"/>
      <c r="AN81" s="254"/>
      <c r="AO81" s="254"/>
      <c r="AP81" s="254"/>
      <c r="AQ81" s="254"/>
      <c r="AR81" s="254"/>
      <c r="AS81" s="254"/>
      <c r="AT81" s="254"/>
      <c r="AU81" s="254"/>
      <c r="AV81" s="254"/>
      <c r="AW81" s="254"/>
      <c r="AX81" s="228"/>
      <c r="AY81" s="228"/>
      <c r="AZ81" s="228"/>
      <c r="BA81" s="228"/>
      <c r="BB81" s="228"/>
      <c r="BC81" s="228"/>
      <c r="BD81" s="228"/>
    </row>
    <row r="82" spans="1:56" ht="12" customHeight="1" x14ac:dyDescent="0.2">
      <c r="A82" s="250">
        <v>0.7</v>
      </c>
      <c r="B82" s="250">
        <f t="shared" si="0"/>
        <v>0.4839271</v>
      </c>
      <c r="C82" s="250">
        <v>0.4839271</v>
      </c>
      <c r="D82" s="250" t="e">
        <f t="shared" si="1"/>
        <v>#DIV/0!</v>
      </c>
      <c r="E82" s="250"/>
      <c r="F82" s="251"/>
      <c r="G82" s="251"/>
      <c r="H82" s="255" t="e">
        <f t="shared" si="2"/>
        <v>#DIV/0!</v>
      </c>
      <c r="I82" s="256">
        <f t="shared" si="3"/>
        <v>0.4839271</v>
      </c>
      <c r="J82" s="254"/>
      <c r="K82" s="254"/>
      <c r="L82" s="254"/>
      <c r="M82" s="254"/>
      <c r="N82" s="254"/>
      <c r="O82" s="254"/>
      <c r="P82" s="254"/>
      <c r="Q82" s="254"/>
      <c r="R82" s="254"/>
      <c r="S82" s="254"/>
      <c r="T82" s="254"/>
      <c r="U82" s="254"/>
      <c r="V82" s="254"/>
      <c r="W82" s="254"/>
      <c r="X82" s="254"/>
      <c r="Y82" s="254"/>
      <c r="Z82" s="254"/>
      <c r="AA82" s="254"/>
      <c r="AB82" s="254"/>
      <c r="AC82" s="254"/>
      <c r="AD82" s="254"/>
      <c r="AE82" s="254"/>
      <c r="AF82" s="254"/>
      <c r="AG82" s="254"/>
      <c r="AH82" s="254"/>
      <c r="AI82" s="254"/>
      <c r="AJ82" s="254"/>
      <c r="AK82" s="254"/>
      <c r="AL82" s="254"/>
      <c r="AM82" s="254"/>
      <c r="AN82" s="254"/>
      <c r="AO82" s="254"/>
      <c r="AP82" s="254"/>
      <c r="AQ82" s="254"/>
      <c r="AR82" s="254"/>
      <c r="AS82" s="254"/>
      <c r="AT82" s="254"/>
      <c r="AU82" s="254"/>
      <c r="AV82" s="254"/>
      <c r="AW82" s="254"/>
      <c r="AX82" s="228"/>
      <c r="AY82" s="228"/>
      <c r="AZ82" s="228"/>
      <c r="BA82" s="228"/>
      <c r="BB82" s="228"/>
      <c r="BC82" s="228"/>
      <c r="BD82" s="228"/>
    </row>
    <row r="83" spans="1:56" ht="12" customHeight="1" x14ac:dyDescent="0.2">
      <c r="A83" s="250">
        <v>0.6</v>
      </c>
      <c r="B83" s="250">
        <f t="shared" si="0"/>
        <v>0.54850600000000005</v>
      </c>
      <c r="C83" s="250">
        <v>0.54850600000000005</v>
      </c>
      <c r="D83" s="250" t="e">
        <f t="shared" si="1"/>
        <v>#DIV/0!</v>
      </c>
      <c r="E83" s="250"/>
      <c r="F83" s="251"/>
      <c r="G83" s="251"/>
      <c r="H83" s="255" t="e">
        <f t="shared" si="2"/>
        <v>#DIV/0!</v>
      </c>
      <c r="I83" s="256">
        <f t="shared" si="3"/>
        <v>0.54850600000000005</v>
      </c>
      <c r="J83" s="254"/>
      <c r="K83" s="254"/>
      <c r="L83" s="254"/>
      <c r="M83" s="254"/>
      <c r="N83" s="254"/>
      <c r="O83" s="254"/>
      <c r="P83" s="254"/>
      <c r="Q83" s="254"/>
      <c r="R83" s="254"/>
      <c r="S83" s="254"/>
      <c r="T83" s="254"/>
      <c r="U83" s="254"/>
      <c r="V83" s="254"/>
      <c r="W83" s="254"/>
      <c r="X83" s="254"/>
      <c r="Y83" s="254"/>
      <c r="Z83" s="254"/>
      <c r="AA83" s="254"/>
      <c r="AB83" s="254"/>
      <c r="AC83" s="254"/>
      <c r="AD83" s="254"/>
      <c r="AE83" s="254"/>
      <c r="AF83" s="254"/>
      <c r="AG83" s="254"/>
      <c r="AH83" s="254"/>
      <c r="AI83" s="254"/>
      <c r="AJ83" s="254"/>
      <c r="AK83" s="254"/>
      <c r="AL83" s="254"/>
      <c r="AM83" s="254"/>
      <c r="AN83" s="254"/>
      <c r="AO83" s="254"/>
      <c r="AP83" s="254"/>
      <c r="AQ83" s="254"/>
      <c r="AR83" s="254"/>
      <c r="AS83" s="254"/>
      <c r="AT83" s="254"/>
      <c r="AU83" s="254"/>
      <c r="AV83" s="254"/>
      <c r="AW83" s="254"/>
      <c r="AX83" s="228"/>
      <c r="AY83" s="228"/>
      <c r="AZ83" s="228"/>
      <c r="BA83" s="228"/>
      <c r="BB83" s="228"/>
      <c r="BC83" s="228"/>
      <c r="BD83" s="228"/>
    </row>
    <row r="84" spans="1:56" ht="12" customHeight="1" x14ac:dyDescent="0.2">
      <c r="A84" s="250">
        <v>0.5</v>
      </c>
      <c r="B84" s="250">
        <f t="shared" si="0"/>
        <v>0.61707489999999998</v>
      </c>
      <c r="C84" s="250">
        <v>0.61707489999999998</v>
      </c>
      <c r="D84" s="250" t="e">
        <f t="shared" si="1"/>
        <v>#DIV/0!</v>
      </c>
      <c r="E84" s="250"/>
      <c r="F84" s="251"/>
      <c r="G84" s="251"/>
      <c r="H84" s="255" t="e">
        <f t="shared" si="2"/>
        <v>#DIV/0!</v>
      </c>
      <c r="I84" s="256">
        <f t="shared" si="3"/>
        <v>0.61707489999999998</v>
      </c>
      <c r="J84" s="254"/>
      <c r="K84" s="254"/>
      <c r="L84" s="254"/>
      <c r="M84" s="254"/>
      <c r="N84" s="254"/>
      <c r="O84" s="254"/>
      <c r="P84" s="254"/>
      <c r="Q84" s="254"/>
      <c r="R84" s="254"/>
      <c r="S84" s="254"/>
      <c r="T84" s="254"/>
      <c r="U84" s="254"/>
      <c r="V84" s="254"/>
      <c r="W84" s="254"/>
      <c r="X84" s="254"/>
      <c r="Y84" s="254"/>
      <c r="Z84" s="254"/>
      <c r="AA84" s="254"/>
      <c r="AB84" s="254"/>
      <c r="AC84" s="254"/>
      <c r="AD84" s="254"/>
      <c r="AE84" s="254"/>
      <c r="AF84" s="254"/>
      <c r="AG84" s="254"/>
      <c r="AH84" s="254"/>
      <c r="AI84" s="254"/>
      <c r="AJ84" s="254"/>
      <c r="AK84" s="254"/>
      <c r="AL84" s="254"/>
      <c r="AM84" s="254"/>
      <c r="AN84" s="254"/>
      <c r="AO84" s="254"/>
      <c r="AP84" s="254"/>
      <c r="AQ84" s="254"/>
      <c r="AR84" s="254"/>
      <c r="AS84" s="254"/>
      <c r="AT84" s="254"/>
      <c r="AU84" s="254"/>
      <c r="AV84" s="254"/>
      <c r="AW84" s="254"/>
      <c r="AX84" s="228"/>
      <c r="AY84" s="228"/>
      <c r="AZ84" s="228"/>
      <c r="BA84" s="228"/>
      <c r="BB84" s="228"/>
      <c r="BC84" s="228"/>
      <c r="BD84" s="228"/>
    </row>
    <row r="85" spans="1:56" ht="12" customHeight="1" x14ac:dyDescent="0.2">
      <c r="A85" s="250">
        <v>0.4</v>
      </c>
      <c r="B85" s="250">
        <f t="shared" si="0"/>
        <v>0.68915630000000005</v>
      </c>
      <c r="C85" s="250">
        <v>0.68915630000000005</v>
      </c>
      <c r="D85" s="250" t="e">
        <f t="shared" si="1"/>
        <v>#DIV/0!</v>
      </c>
      <c r="E85" s="250"/>
      <c r="F85" s="251"/>
      <c r="G85" s="251"/>
      <c r="H85" s="255" t="e">
        <f t="shared" si="2"/>
        <v>#DIV/0!</v>
      </c>
      <c r="I85" s="256">
        <f t="shared" si="3"/>
        <v>0.68915630000000005</v>
      </c>
      <c r="J85" s="228"/>
      <c r="K85" s="228"/>
      <c r="L85" s="228"/>
      <c r="M85" s="228"/>
      <c r="N85" s="228"/>
      <c r="O85" s="228"/>
      <c r="P85" s="228"/>
      <c r="Q85" s="228"/>
      <c r="R85" s="228"/>
      <c r="S85" s="228"/>
      <c r="T85" s="228"/>
      <c r="U85" s="228"/>
      <c r="V85" s="228"/>
      <c r="W85" s="228"/>
      <c r="X85" s="228"/>
      <c r="Y85" s="228"/>
      <c r="Z85" s="228"/>
      <c r="AA85" s="228"/>
      <c r="AB85" s="228"/>
      <c r="AC85" s="228"/>
      <c r="AD85" s="228"/>
      <c r="AE85" s="228"/>
      <c r="AF85" s="228"/>
      <c r="AG85" s="228"/>
      <c r="AH85" s="228"/>
      <c r="AI85" s="228"/>
      <c r="AJ85" s="228"/>
      <c r="AK85" s="228"/>
      <c r="AL85" s="228"/>
      <c r="AM85" s="228"/>
      <c r="AN85" s="228"/>
      <c r="AO85" s="228"/>
      <c r="AP85" s="228"/>
      <c r="AQ85" s="228"/>
      <c r="AR85" s="228"/>
      <c r="AS85" s="228"/>
      <c r="AT85" s="228"/>
      <c r="AU85" s="228"/>
      <c r="AV85" s="228"/>
      <c r="AW85" s="228"/>
      <c r="AX85" s="228"/>
      <c r="AY85" s="228"/>
      <c r="AZ85" s="228"/>
      <c r="BA85" s="228"/>
      <c r="BB85" s="228"/>
      <c r="BC85" s="228"/>
      <c r="BD85" s="228"/>
    </row>
    <row r="86" spans="1:56" ht="12" customHeight="1" x14ac:dyDescent="0.2">
      <c r="A86" s="250">
        <v>0.3</v>
      </c>
      <c r="B86" s="250">
        <f t="shared" si="0"/>
        <v>0.764177</v>
      </c>
      <c r="C86" s="250">
        <v>0.764177</v>
      </c>
      <c r="D86" s="250" t="e">
        <f t="shared" si="1"/>
        <v>#DIV/0!</v>
      </c>
      <c r="E86" s="250"/>
      <c r="F86" s="251"/>
      <c r="G86" s="251"/>
      <c r="H86" s="255" t="e">
        <f t="shared" si="2"/>
        <v>#DIV/0!</v>
      </c>
      <c r="I86" s="256">
        <f t="shared" si="3"/>
        <v>0.764177</v>
      </c>
      <c r="J86" s="228"/>
      <c r="K86" s="228"/>
      <c r="L86" s="228"/>
      <c r="M86" s="228"/>
      <c r="N86" s="228"/>
      <c r="O86" s="228"/>
      <c r="P86" s="228"/>
      <c r="Q86" s="228"/>
      <c r="R86" s="228"/>
      <c r="S86" s="228"/>
      <c r="T86" s="228"/>
      <c r="U86" s="228"/>
      <c r="V86" s="228"/>
      <c r="W86" s="228"/>
      <c r="X86" s="228"/>
      <c r="Y86" s="228"/>
      <c r="Z86" s="228"/>
      <c r="AA86" s="228"/>
      <c r="AB86" s="228"/>
      <c r="AC86" s="228"/>
      <c r="AD86" s="228"/>
      <c r="AE86" s="228"/>
      <c r="AF86" s="228"/>
      <c r="AG86" s="228"/>
      <c r="AH86" s="228"/>
      <c r="AI86" s="228"/>
      <c r="AJ86" s="228"/>
      <c r="AK86" s="228"/>
      <c r="AL86" s="228"/>
      <c r="AM86" s="228"/>
      <c r="AN86" s="228"/>
      <c r="AO86" s="228"/>
      <c r="AP86" s="228"/>
      <c r="AQ86" s="228"/>
      <c r="AR86" s="228"/>
      <c r="AS86" s="228"/>
      <c r="AT86" s="228"/>
      <c r="AU86" s="228"/>
      <c r="AV86" s="228"/>
      <c r="AW86" s="228"/>
      <c r="AX86" s="228"/>
      <c r="AY86" s="228"/>
      <c r="AZ86" s="228"/>
      <c r="BA86" s="228"/>
      <c r="BB86" s="228"/>
      <c r="BC86" s="228"/>
      <c r="BD86" s="228"/>
    </row>
    <row r="87" spans="1:56" ht="12" customHeight="1" x14ac:dyDescent="0.2">
      <c r="A87" s="250">
        <v>0.2</v>
      </c>
      <c r="B87" s="250">
        <f t="shared" si="0"/>
        <v>0.84148049999999996</v>
      </c>
      <c r="C87" s="250">
        <v>0.84148049999999996</v>
      </c>
      <c r="D87" s="250" t="e">
        <f t="shared" si="1"/>
        <v>#DIV/0!</v>
      </c>
      <c r="E87" s="250"/>
      <c r="F87" s="251"/>
      <c r="G87" s="251"/>
      <c r="H87" s="255" t="e">
        <f t="shared" si="2"/>
        <v>#DIV/0!</v>
      </c>
      <c r="I87" s="256">
        <f t="shared" si="3"/>
        <v>0.84148049999999996</v>
      </c>
      <c r="J87" s="228"/>
      <c r="K87" s="228"/>
      <c r="L87" s="228"/>
      <c r="M87" s="228"/>
      <c r="N87" s="228"/>
      <c r="O87" s="228"/>
      <c r="P87" s="228"/>
      <c r="Q87" s="228"/>
      <c r="R87" s="228"/>
      <c r="S87" s="228"/>
      <c r="T87" s="228"/>
      <c r="U87" s="228"/>
      <c r="V87" s="228"/>
      <c r="W87" s="228"/>
      <c r="X87" s="228"/>
      <c r="Y87" s="228"/>
      <c r="Z87" s="228"/>
      <c r="AA87" s="228"/>
      <c r="AB87" s="228"/>
      <c r="AC87" s="228"/>
      <c r="AD87" s="228"/>
      <c r="AE87" s="228"/>
      <c r="AF87" s="228"/>
      <c r="AG87" s="228"/>
      <c r="AH87" s="228"/>
      <c r="AI87" s="228"/>
      <c r="AJ87" s="228"/>
      <c r="AK87" s="228"/>
      <c r="AL87" s="228"/>
      <c r="AM87" s="228"/>
      <c r="AN87" s="228"/>
      <c r="AO87" s="228"/>
      <c r="AP87" s="228"/>
      <c r="AQ87" s="228"/>
      <c r="AR87" s="228"/>
      <c r="AS87" s="228"/>
      <c r="AT87" s="228"/>
      <c r="AU87" s="228"/>
      <c r="AV87" s="228"/>
      <c r="AW87" s="228"/>
      <c r="AX87" s="228"/>
      <c r="AY87" s="228"/>
      <c r="AZ87" s="228"/>
      <c r="BA87" s="228"/>
      <c r="BB87" s="228"/>
      <c r="BC87" s="228"/>
      <c r="BD87" s="228"/>
    </row>
    <row r="88" spans="1:56" ht="12" customHeight="1" x14ac:dyDescent="0.2">
      <c r="A88" s="250">
        <v>0.1</v>
      </c>
      <c r="B88" s="250">
        <f t="shared" si="0"/>
        <v>0.92034419999999995</v>
      </c>
      <c r="C88" s="250">
        <v>0.92034419999999995</v>
      </c>
      <c r="D88" s="250" t="e">
        <f t="shared" si="1"/>
        <v>#DIV/0!</v>
      </c>
      <c r="E88" s="250"/>
      <c r="F88" s="251">
        <v>1</v>
      </c>
      <c r="G88" s="251">
        <v>0</v>
      </c>
      <c r="H88" s="255" t="e">
        <f t="shared" si="2"/>
        <v>#DIV/0!</v>
      </c>
      <c r="I88" s="256">
        <f t="shared" si="3"/>
        <v>0.92034419999999995</v>
      </c>
      <c r="J88" s="228"/>
      <c r="K88" s="228"/>
      <c r="L88" s="228"/>
      <c r="M88" s="228"/>
      <c r="N88" s="228"/>
      <c r="O88" s="228"/>
      <c r="P88" s="228"/>
      <c r="Q88" s="228"/>
      <c r="R88" s="228"/>
      <c r="S88" s="228"/>
      <c r="T88" s="228"/>
      <c r="U88" s="228"/>
      <c r="V88" s="228"/>
      <c r="W88" s="228"/>
      <c r="X88" s="228"/>
      <c r="Y88" s="228"/>
      <c r="Z88" s="228"/>
      <c r="AA88" s="228"/>
      <c r="AB88" s="228"/>
      <c r="AC88" s="228"/>
      <c r="AD88" s="228"/>
      <c r="AE88" s="228"/>
      <c r="AF88" s="228"/>
      <c r="AG88" s="228"/>
      <c r="AH88" s="228"/>
      <c r="AI88" s="228"/>
      <c r="AJ88" s="228"/>
      <c r="AK88" s="228"/>
      <c r="AL88" s="228"/>
      <c r="AM88" s="228"/>
      <c r="AN88" s="228"/>
      <c r="AO88" s="228"/>
      <c r="AP88" s="228"/>
      <c r="AQ88" s="228"/>
      <c r="AR88" s="228"/>
      <c r="AS88" s="228"/>
      <c r="AT88" s="228"/>
      <c r="AU88" s="228"/>
      <c r="AV88" s="228"/>
      <c r="AW88" s="228"/>
      <c r="AX88" s="228"/>
      <c r="AY88" s="228"/>
      <c r="AZ88" s="228"/>
      <c r="BA88" s="228"/>
      <c r="BB88" s="228"/>
      <c r="BC88" s="228"/>
      <c r="BD88" s="228"/>
    </row>
    <row r="89" spans="1:56" ht="12" customHeight="1" x14ac:dyDescent="0.2">
      <c r="A89" s="250">
        <v>0</v>
      </c>
      <c r="B89" s="250">
        <f t="shared" si="0"/>
        <v>1</v>
      </c>
      <c r="C89" s="250">
        <v>1</v>
      </c>
      <c r="D89" s="250" t="e">
        <f t="shared" si="1"/>
        <v>#DIV/0!</v>
      </c>
      <c r="E89" s="250"/>
      <c r="F89" s="251">
        <v>1</v>
      </c>
      <c r="G89" s="251">
        <v>1</v>
      </c>
      <c r="H89" s="255" t="e">
        <f t="shared" si="2"/>
        <v>#DIV/0!</v>
      </c>
      <c r="I89" s="256">
        <f t="shared" si="3"/>
        <v>1</v>
      </c>
      <c r="J89" s="228"/>
      <c r="K89" s="228"/>
      <c r="L89" s="228"/>
      <c r="M89" s="228"/>
      <c r="N89" s="228"/>
      <c r="O89" s="228"/>
      <c r="P89" s="228"/>
      <c r="Q89" s="228"/>
      <c r="R89" s="228"/>
      <c r="S89" s="228"/>
      <c r="T89" s="228"/>
      <c r="U89" s="228"/>
      <c r="V89" s="228"/>
      <c r="W89" s="228"/>
      <c r="X89" s="228"/>
      <c r="Y89" s="228"/>
      <c r="Z89" s="228"/>
      <c r="AA89" s="228"/>
      <c r="AB89" s="228"/>
      <c r="AC89" s="228"/>
      <c r="AD89" s="228"/>
      <c r="AE89" s="228"/>
      <c r="AF89" s="228"/>
      <c r="AG89" s="228"/>
      <c r="AH89" s="228"/>
      <c r="AI89" s="228"/>
      <c r="AJ89" s="228"/>
      <c r="AK89" s="228"/>
      <c r="AL89" s="228"/>
      <c r="AM89" s="228"/>
      <c r="AN89" s="228"/>
      <c r="AO89" s="228"/>
      <c r="AP89" s="228"/>
      <c r="AQ89" s="228"/>
      <c r="AR89" s="228"/>
      <c r="AS89" s="228"/>
      <c r="AT89" s="228"/>
      <c r="AU89" s="228"/>
      <c r="AV89" s="228"/>
      <c r="AW89" s="228"/>
      <c r="AX89" s="228"/>
      <c r="AY89" s="228"/>
      <c r="AZ89" s="228"/>
      <c r="BA89" s="228"/>
      <c r="BB89" s="228"/>
      <c r="BC89" s="228"/>
      <c r="BD89" s="228"/>
    </row>
    <row r="90" spans="1:56" ht="12" customHeight="1" x14ac:dyDescent="0.2">
      <c r="A90" s="250">
        <v>0.1</v>
      </c>
      <c r="B90" s="250">
        <f t="shared" si="0"/>
        <v>0.9203443</v>
      </c>
      <c r="C90" s="250">
        <v>0.9203443</v>
      </c>
      <c r="D90" s="250" t="e">
        <f t="shared" ref="D90:D118" si="4">EXP(LN($K$52)+A90*($K$55))</f>
        <v>#DIV/0!</v>
      </c>
      <c r="E90" s="250"/>
      <c r="F90" s="251"/>
      <c r="G90" s="251"/>
      <c r="H90" s="255" t="e">
        <f t="shared" si="2"/>
        <v>#DIV/0!</v>
      </c>
      <c r="I90" s="256">
        <f t="shared" si="3"/>
        <v>0.9203443</v>
      </c>
      <c r="J90" s="228"/>
      <c r="K90" s="228"/>
      <c r="L90" s="228"/>
      <c r="M90" s="228"/>
      <c r="N90" s="228"/>
      <c r="O90" s="228"/>
      <c r="P90" s="228"/>
      <c r="Q90" s="228"/>
      <c r="R90" s="228"/>
      <c r="S90" s="228"/>
      <c r="T90" s="228"/>
      <c r="U90" s="228"/>
      <c r="V90" s="228"/>
      <c r="W90" s="228"/>
      <c r="X90" s="228"/>
      <c r="Y90" s="228"/>
      <c r="Z90" s="228"/>
      <c r="AA90" s="228"/>
      <c r="AB90" s="228"/>
      <c r="AC90" s="228"/>
      <c r="AD90" s="228"/>
      <c r="AE90" s="228"/>
      <c r="AF90" s="228"/>
      <c r="AG90" s="228"/>
      <c r="AH90" s="228"/>
      <c r="AI90" s="228"/>
      <c r="AJ90" s="228"/>
      <c r="AK90" s="228"/>
      <c r="AL90" s="228"/>
      <c r="AM90" s="228"/>
      <c r="AN90" s="228"/>
      <c r="AO90" s="228"/>
      <c r="AP90" s="228"/>
      <c r="AQ90" s="228"/>
      <c r="AR90" s="228"/>
      <c r="AS90" s="228"/>
      <c r="AT90" s="228"/>
      <c r="AU90" s="228"/>
      <c r="AV90" s="228"/>
      <c r="AW90" s="228"/>
      <c r="AX90" s="228"/>
      <c r="AY90" s="228"/>
      <c r="AZ90" s="228"/>
      <c r="BA90" s="228"/>
      <c r="BB90" s="228"/>
      <c r="BC90" s="228"/>
      <c r="BD90" s="228"/>
    </row>
    <row r="91" spans="1:56" ht="12" customHeight="1" x14ac:dyDescent="0.2">
      <c r="A91" s="250">
        <v>0.2</v>
      </c>
      <c r="B91" s="250">
        <f t="shared" si="0"/>
        <v>0.84148049999999996</v>
      </c>
      <c r="C91" s="250">
        <v>0.84148049999999996</v>
      </c>
      <c r="D91" s="250" t="e">
        <f t="shared" si="4"/>
        <v>#DIV/0!</v>
      </c>
      <c r="E91" s="250"/>
      <c r="F91" s="251"/>
      <c r="G91" s="251"/>
      <c r="H91" s="255" t="e">
        <f t="shared" si="2"/>
        <v>#DIV/0!</v>
      </c>
      <c r="I91" s="256">
        <f t="shared" si="3"/>
        <v>0.84148049999999996</v>
      </c>
      <c r="J91" s="228"/>
      <c r="K91" s="228"/>
      <c r="L91" s="228"/>
      <c r="M91" s="228"/>
      <c r="N91" s="228"/>
      <c r="O91" s="228"/>
      <c r="P91" s="228"/>
      <c r="Q91" s="228"/>
      <c r="R91" s="228"/>
      <c r="S91" s="228"/>
      <c r="T91" s="228"/>
      <c r="U91" s="228"/>
      <c r="V91" s="228"/>
      <c r="W91" s="228"/>
      <c r="X91" s="228"/>
      <c r="Y91" s="228"/>
      <c r="Z91" s="228"/>
      <c r="AA91" s="228"/>
      <c r="AB91" s="228"/>
      <c r="AC91" s="228"/>
      <c r="AD91" s="228"/>
      <c r="AE91" s="228"/>
      <c r="AF91" s="228"/>
      <c r="AG91" s="228"/>
      <c r="AH91" s="228"/>
      <c r="AI91" s="228"/>
      <c r="AJ91" s="228"/>
      <c r="AK91" s="228"/>
      <c r="AL91" s="228"/>
      <c r="AM91" s="228"/>
      <c r="AN91" s="228"/>
      <c r="AO91" s="228"/>
      <c r="AP91" s="228"/>
      <c r="AQ91" s="228"/>
      <c r="AR91" s="228"/>
      <c r="AS91" s="228"/>
      <c r="AT91" s="228"/>
      <c r="AU91" s="228"/>
      <c r="AV91" s="228"/>
      <c r="AW91" s="228"/>
      <c r="AX91" s="228"/>
      <c r="AY91" s="228"/>
      <c r="AZ91" s="228"/>
      <c r="BA91" s="228"/>
      <c r="BB91" s="228"/>
      <c r="BC91" s="228"/>
      <c r="BD91" s="228"/>
    </row>
    <row r="92" spans="1:56" ht="12" customHeight="1" x14ac:dyDescent="0.2">
      <c r="A92" s="250">
        <v>0.3</v>
      </c>
      <c r="B92" s="250">
        <f t="shared" si="0"/>
        <v>0.76417710000000005</v>
      </c>
      <c r="C92" s="250">
        <v>0.76417710000000005</v>
      </c>
      <c r="D92" s="250" t="e">
        <f t="shared" si="4"/>
        <v>#DIV/0!</v>
      </c>
      <c r="E92" s="250"/>
      <c r="F92" s="251"/>
      <c r="G92" s="251"/>
      <c r="H92" s="255" t="e">
        <f t="shared" si="2"/>
        <v>#DIV/0!</v>
      </c>
      <c r="I92" s="256">
        <f t="shared" si="3"/>
        <v>0.76417710000000005</v>
      </c>
      <c r="J92" s="228"/>
      <c r="K92" s="228"/>
      <c r="L92" s="228"/>
      <c r="M92" s="228"/>
      <c r="N92" s="228"/>
      <c r="O92" s="228"/>
      <c r="P92" s="228"/>
      <c r="Q92" s="228"/>
      <c r="R92" s="228"/>
      <c r="S92" s="228"/>
      <c r="T92" s="228"/>
      <c r="U92" s="228"/>
      <c r="V92" s="228"/>
      <c r="W92" s="228"/>
      <c r="X92" s="228"/>
      <c r="Y92" s="228"/>
      <c r="Z92" s="228"/>
      <c r="AA92" s="228"/>
      <c r="AB92" s="228"/>
      <c r="AC92" s="228"/>
      <c r="AD92" s="228"/>
      <c r="AE92" s="228"/>
      <c r="AF92" s="228"/>
      <c r="AG92" s="228"/>
      <c r="AH92" s="228"/>
      <c r="AI92" s="228"/>
      <c r="AJ92" s="228"/>
      <c r="AK92" s="228"/>
      <c r="AL92" s="228"/>
      <c r="AM92" s="228"/>
      <c r="AN92" s="228"/>
      <c r="AO92" s="228"/>
      <c r="AP92" s="228"/>
      <c r="AQ92" s="228"/>
      <c r="AR92" s="228"/>
      <c r="AS92" s="228"/>
      <c r="AT92" s="228"/>
      <c r="AU92" s="228"/>
      <c r="AV92" s="228"/>
      <c r="AW92" s="228"/>
      <c r="AX92" s="228"/>
      <c r="AY92" s="228"/>
      <c r="AZ92" s="228"/>
      <c r="BA92" s="228"/>
      <c r="BB92" s="228"/>
      <c r="BC92" s="228"/>
      <c r="BD92" s="228"/>
    </row>
    <row r="93" spans="1:56" ht="12" customHeight="1" x14ac:dyDescent="0.2">
      <c r="A93" s="250">
        <v>0.4</v>
      </c>
      <c r="B93" s="250">
        <f t="shared" si="0"/>
        <v>0.6891564</v>
      </c>
      <c r="C93" s="250">
        <v>0.6891564</v>
      </c>
      <c r="D93" s="250" t="e">
        <f t="shared" si="4"/>
        <v>#DIV/0!</v>
      </c>
      <c r="E93" s="250"/>
      <c r="F93" s="251"/>
      <c r="G93" s="251"/>
      <c r="H93" s="255" t="e">
        <f t="shared" si="2"/>
        <v>#DIV/0!</v>
      </c>
      <c r="I93" s="256">
        <f t="shared" si="3"/>
        <v>0.6891564</v>
      </c>
      <c r="J93" s="228"/>
      <c r="K93" s="228"/>
      <c r="L93" s="228"/>
      <c r="M93" s="228"/>
      <c r="N93" s="228"/>
      <c r="O93" s="228"/>
      <c r="P93" s="228"/>
      <c r="Q93" s="228"/>
      <c r="R93" s="228"/>
      <c r="S93" s="228"/>
      <c r="T93" s="228"/>
      <c r="U93" s="228"/>
      <c r="V93" s="228"/>
      <c r="W93" s="228"/>
      <c r="X93" s="228"/>
      <c r="Y93" s="228"/>
      <c r="Z93" s="228"/>
      <c r="AA93" s="228"/>
      <c r="AB93" s="228"/>
      <c r="AC93" s="228"/>
      <c r="AD93" s="228"/>
      <c r="AE93" s="228"/>
      <c r="AF93" s="228"/>
      <c r="AG93" s="228"/>
      <c r="AH93" s="228"/>
      <c r="AI93" s="228"/>
      <c r="AJ93" s="228"/>
      <c r="AK93" s="228"/>
      <c r="AL93" s="228"/>
      <c r="AM93" s="228"/>
      <c r="AN93" s="228"/>
      <c r="AO93" s="228"/>
      <c r="AP93" s="228"/>
      <c r="AQ93" s="228"/>
      <c r="AR93" s="228"/>
      <c r="AS93" s="228"/>
      <c r="AT93" s="228"/>
      <c r="AU93" s="228"/>
      <c r="AV93" s="228"/>
      <c r="AW93" s="228"/>
      <c r="AX93" s="228"/>
      <c r="AY93" s="228"/>
      <c r="AZ93" s="228"/>
      <c r="BA93" s="228"/>
      <c r="BB93" s="228"/>
      <c r="BC93" s="228"/>
      <c r="BD93" s="228"/>
    </row>
    <row r="94" spans="1:56" ht="12" customHeight="1" x14ac:dyDescent="0.2">
      <c r="A94" s="250">
        <v>0.5</v>
      </c>
      <c r="B94" s="250">
        <f t="shared" si="0"/>
        <v>0.61707489999999998</v>
      </c>
      <c r="C94" s="250">
        <v>0.61707489999999998</v>
      </c>
      <c r="D94" s="250" t="e">
        <f t="shared" si="4"/>
        <v>#DIV/0!</v>
      </c>
      <c r="E94" s="250"/>
      <c r="F94" s="251"/>
      <c r="G94" s="251"/>
      <c r="H94" s="255" t="e">
        <f t="shared" si="2"/>
        <v>#DIV/0!</v>
      </c>
      <c r="I94" s="256">
        <f t="shared" si="3"/>
        <v>0.61707489999999998</v>
      </c>
      <c r="J94" s="228"/>
      <c r="K94" s="228"/>
      <c r="L94" s="228"/>
      <c r="M94" s="228"/>
      <c r="N94" s="228"/>
      <c r="O94" s="228"/>
      <c r="P94" s="228"/>
      <c r="Q94" s="228"/>
      <c r="R94" s="228"/>
      <c r="S94" s="228"/>
      <c r="T94" s="228"/>
      <c r="U94" s="228"/>
      <c r="V94" s="228"/>
      <c r="W94" s="228"/>
      <c r="X94" s="228"/>
      <c r="Y94" s="228"/>
      <c r="Z94" s="228"/>
      <c r="AA94" s="228"/>
      <c r="AB94" s="228"/>
      <c r="AC94" s="228"/>
      <c r="AD94" s="228"/>
      <c r="AE94" s="228"/>
      <c r="AF94" s="228"/>
      <c r="AG94" s="228"/>
      <c r="AH94" s="228"/>
      <c r="AI94" s="228"/>
      <c r="AJ94" s="228"/>
      <c r="AK94" s="228"/>
      <c r="AL94" s="228"/>
      <c r="AM94" s="228"/>
      <c r="AN94" s="228"/>
      <c r="AO94" s="228"/>
      <c r="AP94" s="228"/>
      <c r="AQ94" s="228"/>
      <c r="AR94" s="228"/>
      <c r="AS94" s="228"/>
      <c r="AT94" s="228"/>
      <c r="AU94" s="228"/>
      <c r="AV94" s="228"/>
      <c r="AW94" s="228"/>
      <c r="AX94" s="228"/>
      <c r="AY94" s="228"/>
      <c r="AZ94" s="228"/>
      <c r="BA94" s="228"/>
      <c r="BB94" s="228"/>
      <c r="BC94" s="228"/>
      <c r="BD94" s="228"/>
    </row>
    <row r="95" spans="1:56" ht="12" customHeight="1" x14ac:dyDescent="0.2">
      <c r="A95" s="250">
        <v>0.6</v>
      </c>
      <c r="B95" s="250">
        <f t="shared" si="0"/>
        <v>0.5485061</v>
      </c>
      <c r="C95" s="250">
        <v>0.5485061</v>
      </c>
      <c r="D95" s="250" t="e">
        <f t="shared" si="4"/>
        <v>#DIV/0!</v>
      </c>
      <c r="E95" s="250"/>
      <c r="F95" s="251"/>
      <c r="G95" s="251"/>
      <c r="H95" s="255" t="e">
        <f t="shared" si="2"/>
        <v>#DIV/0!</v>
      </c>
      <c r="I95" s="256">
        <f t="shared" si="3"/>
        <v>0.5485061</v>
      </c>
      <c r="J95" s="228"/>
      <c r="K95" s="228"/>
      <c r="L95" s="228"/>
      <c r="M95" s="228"/>
      <c r="N95" s="228"/>
      <c r="O95" s="228"/>
      <c r="P95" s="228"/>
      <c r="Q95" s="228"/>
      <c r="R95" s="228"/>
      <c r="S95" s="228"/>
      <c r="T95" s="228"/>
      <c r="U95" s="228"/>
      <c r="V95" s="228"/>
      <c r="W95" s="228"/>
      <c r="X95" s="228"/>
      <c r="Y95" s="228"/>
      <c r="Z95" s="228"/>
      <c r="AA95" s="228"/>
      <c r="AB95" s="228"/>
      <c r="AC95" s="228"/>
      <c r="AD95" s="228"/>
      <c r="AE95" s="228"/>
      <c r="AF95" s="228"/>
      <c r="AG95" s="228"/>
      <c r="AH95" s="228"/>
      <c r="AI95" s="228"/>
      <c r="AJ95" s="228"/>
      <c r="AK95" s="228"/>
      <c r="AL95" s="228"/>
      <c r="AM95" s="228"/>
      <c r="AN95" s="228"/>
      <c r="AO95" s="228"/>
      <c r="AP95" s="228"/>
      <c r="AQ95" s="228"/>
      <c r="AR95" s="228"/>
      <c r="AS95" s="228"/>
      <c r="AT95" s="228"/>
      <c r="AU95" s="228"/>
      <c r="AV95" s="228"/>
      <c r="AW95" s="228"/>
      <c r="AX95" s="228"/>
      <c r="AY95" s="228"/>
      <c r="AZ95" s="228"/>
      <c r="BA95" s="228"/>
      <c r="BB95" s="228"/>
      <c r="BC95" s="228"/>
      <c r="BD95" s="228"/>
    </row>
    <row r="96" spans="1:56" ht="12" customHeight="1" x14ac:dyDescent="0.2">
      <c r="A96" s="250">
        <v>0.7</v>
      </c>
      <c r="B96" s="250">
        <f t="shared" si="0"/>
        <v>0.4839271</v>
      </c>
      <c r="C96" s="250">
        <v>0.4839271</v>
      </c>
      <c r="D96" s="250" t="e">
        <f t="shared" si="4"/>
        <v>#DIV/0!</v>
      </c>
      <c r="E96" s="250"/>
      <c r="F96" s="251"/>
      <c r="G96" s="251"/>
      <c r="H96" s="255" t="e">
        <f t="shared" si="2"/>
        <v>#DIV/0!</v>
      </c>
      <c r="I96" s="256">
        <f t="shared" si="3"/>
        <v>0.4839271</v>
      </c>
      <c r="J96" s="228"/>
      <c r="K96" s="228"/>
      <c r="L96" s="228"/>
      <c r="M96" s="228"/>
      <c r="N96" s="228"/>
      <c r="O96" s="228"/>
      <c r="P96" s="228"/>
      <c r="Q96" s="228"/>
      <c r="R96" s="228"/>
      <c r="S96" s="228"/>
      <c r="T96" s="228"/>
      <c r="U96" s="228"/>
      <c r="V96" s="228"/>
      <c r="W96" s="228"/>
      <c r="X96" s="228"/>
      <c r="Y96" s="228"/>
      <c r="Z96" s="228"/>
      <c r="AA96" s="228"/>
      <c r="AB96" s="228"/>
      <c r="AC96" s="228"/>
      <c r="AD96" s="228"/>
      <c r="AE96" s="228"/>
      <c r="AF96" s="228"/>
      <c r="AG96" s="228"/>
      <c r="AH96" s="228"/>
      <c r="AI96" s="228"/>
      <c r="AJ96" s="228"/>
      <c r="AK96" s="228"/>
      <c r="AL96" s="228"/>
      <c r="AM96" s="228"/>
      <c r="AN96" s="228"/>
      <c r="AO96" s="228"/>
      <c r="AP96" s="228"/>
      <c r="AQ96" s="228"/>
      <c r="AR96" s="228"/>
      <c r="AS96" s="228"/>
      <c r="AT96" s="228"/>
      <c r="AU96" s="228"/>
      <c r="AV96" s="228"/>
      <c r="AW96" s="228"/>
      <c r="AX96" s="228"/>
      <c r="AY96" s="228"/>
      <c r="AZ96" s="228"/>
      <c r="BA96" s="228"/>
      <c r="BB96" s="228"/>
      <c r="BC96" s="228"/>
      <c r="BD96" s="228"/>
    </row>
    <row r="97" spans="1:56" ht="12" customHeight="1" x14ac:dyDescent="0.2">
      <c r="A97" s="250">
        <v>0.8</v>
      </c>
      <c r="B97" s="250">
        <f t="shared" si="0"/>
        <v>0.42371059999999999</v>
      </c>
      <c r="C97" s="250">
        <v>0.42371059999999999</v>
      </c>
      <c r="D97" s="250" t="e">
        <f t="shared" si="4"/>
        <v>#DIV/0!</v>
      </c>
      <c r="E97" s="250"/>
      <c r="F97" s="251"/>
      <c r="G97" s="251"/>
      <c r="H97" s="255" t="e">
        <f t="shared" si="2"/>
        <v>#DIV/0!</v>
      </c>
      <c r="I97" s="256">
        <f t="shared" si="3"/>
        <v>0.42371059999999999</v>
      </c>
      <c r="J97" s="228"/>
      <c r="K97" s="228"/>
      <c r="L97" s="228"/>
      <c r="M97" s="228"/>
      <c r="N97" s="228"/>
      <c r="O97" s="228"/>
      <c r="P97" s="228"/>
      <c r="Q97" s="228"/>
      <c r="R97" s="228"/>
      <c r="S97" s="228"/>
      <c r="T97" s="228"/>
      <c r="U97" s="228"/>
      <c r="V97" s="228"/>
      <c r="W97" s="228"/>
      <c r="X97" s="228"/>
      <c r="Y97" s="228"/>
      <c r="Z97" s="228"/>
      <c r="AA97" s="228"/>
      <c r="AB97" s="228"/>
      <c r="AC97" s="228"/>
      <c r="AD97" s="228"/>
      <c r="AE97" s="228"/>
      <c r="AF97" s="228"/>
      <c r="AG97" s="228"/>
      <c r="AH97" s="228"/>
      <c r="AI97" s="228"/>
      <c r="AJ97" s="228"/>
      <c r="AK97" s="228"/>
      <c r="AL97" s="228"/>
      <c r="AM97" s="228"/>
      <c r="AN97" s="228"/>
      <c r="AO97" s="228"/>
      <c r="AP97" s="228"/>
      <c r="AQ97" s="228"/>
      <c r="AR97" s="228"/>
      <c r="AS97" s="228"/>
      <c r="AT97" s="228"/>
      <c r="AU97" s="228"/>
      <c r="AV97" s="228"/>
      <c r="AW97" s="228"/>
      <c r="AX97" s="228"/>
      <c r="AY97" s="228"/>
      <c r="AZ97" s="228"/>
      <c r="BA97" s="228"/>
      <c r="BB97" s="228"/>
      <c r="BC97" s="228"/>
      <c r="BD97" s="228"/>
    </row>
    <row r="98" spans="1:56" ht="12" customHeight="1" x14ac:dyDescent="0.2">
      <c r="A98" s="250">
        <v>0.9</v>
      </c>
      <c r="B98" s="250">
        <f t="shared" si="0"/>
        <v>0.36812</v>
      </c>
      <c r="C98" s="250">
        <v>0.36812</v>
      </c>
      <c r="D98" s="250" t="e">
        <f t="shared" si="4"/>
        <v>#DIV/0!</v>
      </c>
      <c r="E98" s="250"/>
      <c r="F98" s="251"/>
      <c r="G98" s="251"/>
      <c r="H98" s="255" t="e">
        <f t="shared" si="2"/>
        <v>#DIV/0!</v>
      </c>
      <c r="I98" s="256">
        <f t="shared" si="3"/>
        <v>0.36812</v>
      </c>
      <c r="J98" s="228"/>
      <c r="K98" s="228"/>
      <c r="L98" s="228"/>
      <c r="M98" s="228"/>
      <c r="N98" s="228"/>
      <c r="O98" s="228"/>
      <c r="P98" s="228"/>
      <c r="Q98" s="228"/>
      <c r="R98" s="228"/>
      <c r="S98" s="228"/>
      <c r="T98" s="228"/>
      <c r="U98" s="228"/>
      <c r="V98" s="228"/>
      <c r="W98" s="228"/>
      <c r="X98" s="228"/>
      <c r="Y98" s="228"/>
      <c r="Z98" s="228"/>
      <c r="AA98" s="228"/>
      <c r="AB98" s="228"/>
      <c r="AC98" s="228"/>
      <c r="AD98" s="228"/>
      <c r="AE98" s="228"/>
      <c r="AF98" s="228"/>
      <c r="AG98" s="228"/>
      <c r="AH98" s="228"/>
      <c r="AI98" s="228"/>
      <c r="AJ98" s="228"/>
      <c r="AK98" s="228"/>
      <c r="AL98" s="228"/>
      <c r="AM98" s="228"/>
      <c r="AN98" s="228"/>
      <c r="AO98" s="228"/>
      <c r="AP98" s="228"/>
      <c r="AQ98" s="228"/>
      <c r="AR98" s="228"/>
      <c r="AS98" s="228"/>
      <c r="AT98" s="228"/>
      <c r="AU98" s="228"/>
      <c r="AV98" s="228"/>
      <c r="AW98" s="228"/>
      <c r="AX98" s="228"/>
      <c r="AY98" s="228"/>
      <c r="AZ98" s="228"/>
      <c r="BA98" s="228"/>
      <c r="BB98" s="228"/>
      <c r="BC98" s="228"/>
      <c r="BD98" s="228"/>
    </row>
    <row r="99" spans="1:56" ht="12" customHeight="1" x14ac:dyDescent="0.2">
      <c r="A99" s="250">
        <v>1</v>
      </c>
      <c r="B99" s="250">
        <f t="shared" si="0"/>
        <v>0.31731019999999999</v>
      </c>
      <c r="C99" s="250">
        <v>0.31731019999999999</v>
      </c>
      <c r="D99" s="250" t="e">
        <f t="shared" si="4"/>
        <v>#DIV/0!</v>
      </c>
      <c r="E99" s="250"/>
      <c r="F99" s="251"/>
      <c r="G99" s="251"/>
      <c r="H99" s="255" t="e">
        <f t="shared" si="2"/>
        <v>#DIV/0!</v>
      </c>
      <c r="I99" s="256">
        <f t="shared" si="3"/>
        <v>0.31731019999999999</v>
      </c>
      <c r="J99" s="228"/>
      <c r="K99" s="228"/>
      <c r="L99" s="228"/>
      <c r="M99" s="228"/>
      <c r="N99" s="228"/>
      <c r="O99" s="228"/>
      <c r="P99" s="228"/>
      <c r="Q99" s="228"/>
      <c r="R99" s="228"/>
      <c r="S99" s="228"/>
      <c r="T99" s="228"/>
      <c r="U99" s="228"/>
      <c r="V99" s="228"/>
      <c r="W99" s="228"/>
      <c r="X99" s="228"/>
      <c r="Y99" s="228"/>
      <c r="Z99" s="228"/>
      <c r="AA99" s="228"/>
      <c r="AB99" s="228"/>
      <c r="AC99" s="228"/>
      <c r="AD99" s="228"/>
      <c r="AE99" s="228"/>
      <c r="AF99" s="228"/>
      <c r="AG99" s="228"/>
      <c r="AH99" s="228"/>
      <c r="AI99" s="228"/>
      <c r="AJ99" s="228"/>
      <c r="AK99" s="228"/>
      <c r="AL99" s="228"/>
      <c r="AM99" s="228"/>
      <c r="AN99" s="228"/>
      <c r="AO99" s="228"/>
      <c r="AP99" s="228"/>
      <c r="AQ99" s="228"/>
      <c r="AR99" s="228"/>
      <c r="AS99" s="228"/>
      <c r="AT99" s="228"/>
      <c r="AU99" s="228"/>
      <c r="AV99" s="228"/>
      <c r="AW99" s="228"/>
      <c r="AX99" s="228"/>
      <c r="AY99" s="228"/>
      <c r="AZ99" s="228"/>
      <c r="BA99" s="228"/>
      <c r="BB99" s="228"/>
      <c r="BC99" s="228"/>
      <c r="BD99" s="228"/>
    </row>
    <row r="100" spans="1:56" ht="12" customHeight="1" x14ac:dyDescent="0.2">
      <c r="A100" s="250">
        <v>1.1000000000000001</v>
      </c>
      <c r="B100" s="250">
        <f t="shared" si="0"/>
        <v>0.27133180000000001</v>
      </c>
      <c r="C100" s="250">
        <v>0.27133180000000001</v>
      </c>
      <c r="D100" s="250" t="e">
        <f t="shared" si="4"/>
        <v>#DIV/0!</v>
      </c>
      <c r="E100" s="250"/>
      <c r="F100" s="251"/>
      <c r="G100" s="251"/>
      <c r="H100" s="255" t="e">
        <f t="shared" si="2"/>
        <v>#DIV/0!</v>
      </c>
      <c r="I100" s="256">
        <f t="shared" si="3"/>
        <v>0.27133180000000001</v>
      </c>
      <c r="J100" s="228"/>
      <c r="K100" s="228"/>
      <c r="L100" s="228"/>
      <c r="M100" s="228"/>
      <c r="N100" s="228"/>
      <c r="O100" s="228"/>
      <c r="P100" s="228"/>
      <c r="Q100" s="228"/>
      <c r="R100" s="228"/>
      <c r="S100" s="228"/>
      <c r="T100" s="228"/>
      <c r="U100" s="228"/>
      <c r="V100" s="228"/>
      <c r="W100" s="228"/>
      <c r="X100" s="228"/>
      <c r="Y100" s="228"/>
      <c r="Z100" s="228"/>
      <c r="AA100" s="228"/>
      <c r="AB100" s="228"/>
      <c r="AC100" s="228"/>
      <c r="AD100" s="228"/>
      <c r="AE100" s="228"/>
      <c r="AF100" s="228"/>
      <c r="AG100" s="228"/>
      <c r="AH100" s="228"/>
      <c r="AI100" s="228"/>
      <c r="AJ100" s="228"/>
      <c r="AK100" s="228"/>
      <c r="AL100" s="228"/>
      <c r="AM100" s="228"/>
      <c r="AN100" s="228"/>
      <c r="AO100" s="228"/>
      <c r="AP100" s="228"/>
      <c r="AQ100" s="228"/>
      <c r="AR100" s="228"/>
      <c r="AS100" s="228"/>
      <c r="AT100" s="228"/>
      <c r="AU100" s="228"/>
      <c r="AV100" s="228"/>
      <c r="AW100" s="228"/>
      <c r="AX100" s="228"/>
      <c r="AY100" s="228"/>
      <c r="AZ100" s="228"/>
      <c r="BA100" s="228"/>
      <c r="BB100" s="228"/>
      <c r="BC100" s="228"/>
      <c r="BD100" s="228"/>
    </row>
    <row r="101" spans="1:56" ht="12" customHeight="1" x14ac:dyDescent="0.2">
      <c r="A101" s="250">
        <v>1.2</v>
      </c>
      <c r="B101" s="250">
        <f t="shared" si="0"/>
        <v>0.23013900000000001</v>
      </c>
      <c r="C101" s="250">
        <v>0.23013900000000001</v>
      </c>
      <c r="D101" s="250" t="e">
        <f t="shared" si="4"/>
        <v>#DIV/0!</v>
      </c>
      <c r="E101" s="250"/>
      <c r="F101" s="251"/>
      <c r="G101" s="251"/>
      <c r="H101" s="255" t="e">
        <f t="shared" si="2"/>
        <v>#DIV/0!</v>
      </c>
      <c r="I101" s="256">
        <f t="shared" si="3"/>
        <v>0.23013900000000001</v>
      </c>
      <c r="J101" s="228"/>
      <c r="K101" s="228"/>
      <c r="L101" s="228"/>
      <c r="M101" s="228"/>
      <c r="N101" s="228"/>
      <c r="O101" s="228"/>
      <c r="P101" s="228"/>
      <c r="Q101" s="228"/>
      <c r="R101" s="228"/>
      <c r="S101" s="228"/>
      <c r="T101" s="228"/>
      <c r="U101" s="228"/>
      <c r="V101" s="228"/>
      <c r="W101" s="228"/>
      <c r="X101" s="228"/>
      <c r="Y101" s="228"/>
      <c r="Z101" s="228"/>
      <c r="AA101" s="228"/>
      <c r="AB101" s="228"/>
      <c r="AC101" s="228"/>
      <c r="AD101" s="228"/>
      <c r="AE101" s="228"/>
      <c r="AF101" s="228"/>
      <c r="AG101" s="228"/>
      <c r="AH101" s="228"/>
      <c r="AI101" s="228"/>
      <c r="AJ101" s="228"/>
      <c r="AK101" s="228"/>
      <c r="AL101" s="228"/>
      <c r="AM101" s="228"/>
      <c r="AN101" s="228"/>
      <c r="AO101" s="228"/>
      <c r="AP101" s="228"/>
      <c r="AQ101" s="228"/>
      <c r="AR101" s="228"/>
      <c r="AS101" s="228"/>
      <c r="AT101" s="228"/>
      <c r="AU101" s="228"/>
      <c r="AV101" s="228"/>
      <c r="AW101" s="228"/>
      <c r="AX101" s="228"/>
      <c r="AY101" s="228"/>
      <c r="AZ101" s="228"/>
      <c r="BA101" s="228"/>
      <c r="BB101" s="228"/>
      <c r="BC101" s="228"/>
      <c r="BD101" s="228"/>
    </row>
    <row r="102" spans="1:56" ht="12" customHeight="1" x14ac:dyDescent="0.2">
      <c r="A102" s="250">
        <v>1.3</v>
      </c>
      <c r="B102" s="250">
        <f t="shared" si="0"/>
        <v>0.19360069999999999</v>
      </c>
      <c r="C102" s="250">
        <v>0.19360069999999999</v>
      </c>
      <c r="D102" s="250" t="e">
        <f t="shared" si="4"/>
        <v>#DIV/0!</v>
      </c>
      <c r="E102" s="250"/>
      <c r="F102" s="251"/>
      <c r="G102" s="251"/>
      <c r="H102" s="255" t="e">
        <f t="shared" si="2"/>
        <v>#DIV/0!</v>
      </c>
      <c r="I102" s="256">
        <f t="shared" si="3"/>
        <v>0.19360069999999999</v>
      </c>
      <c r="J102" s="228"/>
      <c r="K102" s="228"/>
      <c r="L102" s="228"/>
      <c r="M102" s="228"/>
      <c r="N102" s="228"/>
      <c r="O102" s="228"/>
      <c r="P102" s="228"/>
      <c r="Q102" s="228"/>
      <c r="R102" s="228"/>
      <c r="S102" s="228"/>
      <c r="T102" s="228"/>
      <c r="U102" s="228"/>
      <c r="V102" s="228"/>
      <c r="W102" s="228"/>
      <c r="X102" s="228"/>
      <c r="Y102" s="228"/>
      <c r="Z102" s="228"/>
      <c r="AA102" s="228"/>
      <c r="AB102" s="228"/>
      <c r="AC102" s="228"/>
      <c r="AD102" s="228"/>
      <c r="AE102" s="228"/>
      <c r="AF102" s="228"/>
      <c r="AG102" s="228"/>
      <c r="AH102" s="228"/>
      <c r="AI102" s="228"/>
      <c r="AJ102" s="228"/>
      <c r="AK102" s="228"/>
      <c r="AL102" s="228"/>
      <c r="AM102" s="228"/>
      <c r="AN102" s="228"/>
      <c r="AO102" s="228"/>
      <c r="AP102" s="228"/>
      <c r="AQ102" s="228"/>
      <c r="AR102" s="228"/>
      <c r="AS102" s="228"/>
      <c r="AT102" s="228"/>
      <c r="AU102" s="228"/>
      <c r="AV102" s="228"/>
      <c r="AW102" s="228"/>
      <c r="AX102" s="228"/>
      <c r="AY102" s="228"/>
      <c r="AZ102" s="228"/>
      <c r="BA102" s="228"/>
      <c r="BB102" s="228"/>
      <c r="BC102" s="228"/>
      <c r="BD102" s="228"/>
    </row>
    <row r="103" spans="1:56" ht="12" customHeight="1" x14ac:dyDescent="0.2">
      <c r="A103" s="250">
        <v>1.4</v>
      </c>
      <c r="B103" s="250">
        <f t="shared" si="0"/>
        <v>0.16151299999999999</v>
      </c>
      <c r="C103" s="250">
        <v>0.16151299999999999</v>
      </c>
      <c r="D103" s="250" t="e">
        <f t="shared" si="4"/>
        <v>#DIV/0!</v>
      </c>
      <c r="E103" s="250"/>
      <c r="F103" s="251"/>
      <c r="G103" s="251"/>
      <c r="H103" s="255" t="e">
        <f t="shared" si="2"/>
        <v>#DIV/0!</v>
      </c>
      <c r="I103" s="256">
        <f t="shared" si="3"/>
        <v>0.16151299999999999</v>
      </c>
    </row>
    <row r="104" spans="1:56" ht="12" customHeight="1" x14ac:dyDescent="0.2">
      <c r="A104" s="250">
        <v>1.5</v>
      </c>
      <c r="B104" s="250">
        <f t="shared" si="0"/>
        <v>0.13361410000000001</v>
      </c>
      <c r="C104" s="250">
        <v>0.13361410000000001</v>
      </c>
      <c r="D104" s="250" t="e">
        <f t="shared" si="4"/>
        <v>#DIV/0!</v>
      </c>
      <c r="E104" s="250"/>
      <c r="F104" s="251"/>
      <c r="G104" s="251"/>
      <c r="H104" s="255" t="e">
        <f t="shared" si="2"/>
        <v>#DIV/0!</v>
      </c>
      <c r="I104" s="256">
        <f t="shared" si="3"/>
        <v>0.13361410000000001</v>
      </c>
    </row>
    <row r="105" spans="1:56" ht="12" customHeight="1" x14ac:dyDescent="0.2">
      <c r="A105" s="250">
        <v>1.6</v>
      </c>
      <c r="B105" s="250">
        <f t="shared" si="0"/>
        <v>0.10959820000000001</v>
      </c>
      <c r="C105" s="250">
        <v>0.10959820000000001</v>
      </c>
      <c r="D105" s="250" t="e">
        <f t="shared" si="4"/>
        <v>#DIV/0!</v>
      </c>
      <c r="E105" s="250"/>
      <c r="F105" s="251"/>
      <c r="G105" s="251"/>
      <c r="H105" s="255" t="e">
        <f t="shared" si="2"/>
        <v>#DIV/0!</v>
      </c>
      <c r="I105" s="256">
        <f t="shared" si="3"/>
        <v>0.10959820000000001</v>
      </c>
    </row>
    <row r="106" spans="1:56" ht="12" customHeight="1" x14ac:dyDescent="0.2">
      <c r="A106" s="250">
        <v>1.7</v>
      </c>
      <c r="B106" s="250">
        <f t="shared" si="0"/>
        <v>8.9130600000000004E-2</v>
      </c>
      <c r="C106" s="250">
        <v>8.9130600000000004E-2</v>
      </c>
      <c r="D106" s="250" t="e">
        <f t="shared" si="4"/>
        <v>#DIV/0!</v>
      </c>
      <c r="E106" s="250"/>
      <c r="F106" s="251"/>
      <c r="G106" s="251"/>
      <c r="H106" s="255" t="e">
        <f t="shared" si="2"/>
        <v>#DIV/0!</v>
      </c>
      <c r="I106" s="256">
        <f t="shared" si="3"/>
        <v>8.9130600000000004E-2</v>
      </c>
    </row>
    <row r="107" spans="1:56" ht="12" customHeight="1" x14ac:dyDescent="0.2">
      <c r="A107" s="250">
        <v>1.8</v>
      </c>
      <c r="B107" s="250">
        <f t="shared" si="0"/>
        <v>7.1860300000000002E-2</v>
      </c>
      <c r="C107" s="250">
        <v>7.1860300000000002E-2</v>
      </c>
      <c r="D107" s="250" t="e">
        <f t="shared" si="4"/>
        <v>#DIV/0!</v>
      </c>
      <c r="E107" s="250"/>
      <c r="F107" s="251"/>
      <c r="G107" s="251"/>
      <c r="H107" s="255" t="e">
        <f t="shared" si="2"/>
        <v>#DIV/0!</v>
      </c>
      <c r="I107" s="256">
        <f t="shared" si="3"/>
        <v>7.1860300000000002E-2</v>
      </c>
    </row>
    <row r="108" spans="1:56" ht="12" customHeight="1" x14ac:dyDescent="0.2">
      <c r="A108" s="250">
        <v>1.9</v>
      </c>
      <c r="B108" s="250">
        <f t="shared" si="0"/>
        <v>5.7432700000000003E-2</v>
      </c>
      <c r="C108" s="250">
        <v>5.7432700000000003E-2</v>
      </c>
      <c r="D108" s="250" t="e">
        <f t="shared" si="4"/>
        <v>#DIV/0!</v>
      </c>
      <c r="E108" s="250"/>
      <c r="F108" s="251"/>
      <c r="G108" s="251"/>
      <c r="H108" s="255" t="e">
        <f t="shared" si="2"/>
        <v>#DIV/0!</v>
      </c>
      <c r="I108" s="256">
        <f t="shared" si="3"/>
        <v>5.7432700000000003E-2</v>
      </c>
    </row>
    <row r="109" spans="1:56" ht="12" customHeight="1" x14ac:dyDescent="0.2">
      <c r="A109" s="250">
        <v>2</v>
      </c>
      <c r="B109" s="250">
        <f t="shared" si="0"/>
        <v>4.5499900000000003E-2</v>
      </c>
      <c r="C109" s="250">
        <v>4.5499900000000003E-2</v>
      </c>
      <c r="D109" s="250" t="e">
        <f t="shared" si="4"/>
        <v>#DIV/0!</v>
      </c>
      <c r="E109" s="250"/>
      <c r="F109" s="251"/>
      <c r="G109" s="251"/>
      <c r="H109" s="255" t="e">
        <f t="shared" si="2"/>
        <v>#DIV/0!</v>
      </c>
      <c r="I109" s="256">
        <f t="shared" si="3"/>
        <v>4.5499900000000003E-2</v>
      </c>
    </row>
    <row r="110" spans="1:56" ht="12" customHeight="1" x14ac:dyDescent="0.2">
      <c r="A110" s="250">
        <v>2.1</v>
      </c>
      <c r="B110" s="250">
        <f t="shared" si="0"/>
        <v>3.5728500000000003E-2</v>
      </c>
      <c r="C110" s="250">
        <v>3.5728500000000003E-2</v>
      </c>
      <c r="D110" s="250" t="e">
        <f t="shared" si="4"/>
        <v>#DIV/0!</v>
      </c>
      <c r="E110" s="250"/>
      <c r="F110" s="251"/>
      <c r="G110" s="251"/>
      <c r="H110" s="255" t="e">
        <f t="shared" si="2"/>
        <v>#DIV/0!</v>
      </c>
      <c r="I110" s="256">
        <f t="shared" si="3"/>
        <v>3.5728500000000003E-2</v>
      </c>
    </row>
    <row r="111" spans="1:56" ht="12" customHeight="1" x14ac:dyDescent="0.2">
      <c r="A111" s="250">
        <v>2.2000000000000002</v>
      </c>
      <c r="B111" s="250">
        <f t="shared" si="0"/>
        <v>2.7806500000000001E-2</v>
      </c>
      <c r="C111" s="250">
        <v>2.7806500000000001E-2</v>
      </c>
      <c r="D111" s="250" t="e">
        <f t="shared" si="4"/>
        <v>#DIV/0!</v>
      </c>
      <c r="E111" s="250"/>
      <c r="F111" s="251"/>
      <c r="G111" s="251"/>
      <c r="H111" s="255" t="e">
        <f t="shared" si="2"/>
        <v>#DIV/0!</v>
      </c>
      <c r="I111" s="256">
        <f t="shared" si="3"/>
        <v>2.7806500000000001E-2</v>
      </c>
    </row>
    <row r="112" spans="1:56" ht="12" customHeight="1" x14ac:dyDescent="0.2">
      <c r="A112" s="250">
        <v>2.2999999999999998</v>
      </c>
      <c r="B112" s="250">
        <f t="shared" si="0"/>
        <v>2.14478E-2</v>
      </c>
      <c r="C112" s="250">
        <v>2.14478E-2</v>
      </c>
      <c r="D112" s="250" t="e">
        <f t="shared" si="4"/>
        <v>#DIV/0!</v>
      </c>
      <c r="E112" s="250"/>
      <c r="F112" s="251"/>
      <c r="G112" s="251"/>
      <c r="H112" s="255" t="e">
        <f t="shared" si="2"/>
        <v>#DIV/0!</v>
      </c>
      <c r="I112" s="256">
        <f t="shared" si="3"/>
        <v>2.14478E-2</v>
      </c>
    </row>
    <row r="113" spans="1:9" ht="12" customHeight="1" x14ac:dyDescent="0.2">
      <c r="A113" s="250">
        <v>2.4</v>
      </c>
      <c r="B113" s="250">
        <f t="shared" si="0"/>
        <v>1.6394700000000002E-2</v>
      </c>
      <c r="C113" s="250">
        <v>1.6394700000000002E-2</v>
      </c>
      <c r="D113" s="250" t="e">
        <f t="shared" si="4"/>
        <v>#DIV/0!</v>
      </c>
      <c r="E113" s="250"/>
      <c r="F113" s="251"/>
      <c r="G113" s="251"/>
      <c r="H113" s="255" t="e">
        <f t="shared" si="2"/>
        <v>#DIV/0!</v>
      </c>
      <c r="I113" s="256">
        <f t="shared" si="3"/>
        <v>1.6394700000000002E-2</v>
      </c>
    </row>
    <row r="114" spans="1:9" ht="12" customHeight="1" x14ac:dyDescent="0.2">
      <c r="A114" s="250">
        <v>2.5</v>
      </c>
      <c r="B114" s="250">
        <f t="shared" si="0"/>
        <v>1.24189E-2</v>
      </c>
      <c r="C114" s="250">
        <v>1.24189E-2</v>
      </c>
      <c r="D114" s="250" t="e">
        <f t="shared" si="4"/>
        <v>#DIV/0!</v>
      </c>
      <c r="E114" s="250"/>
      <c r="F114" s="251"/>
      <c r="G114" s="251"/>
      <c r="H114" s="255" t="e">
        <f t="shared" si="2"/>
        <v>#DIV/0!</v>
      </c>
      <c r="I114" s="256">
        <f t="shared" si="3"/>
        <v>1.24189E-2</v>
      </c>
    </row>
    <row r="115" spans="1:9" ht="12" customHeight="1" x14ac:dyDescent="0.2">
      <c r="A115" s="250">
        <v>2.6</v>
      </c>
      <c r="B115" s="250">
        <f t="shared" si="0"/>
        <v>9.3220000000000004E-3</v>
      </c>
      <c r="C115" s="250">
        <v>9.3220000000000004E-3</v>
      </c>
      <c r="D115" s="250" t="e">
        <f t="shared" si="4"/>
        <v>#DIV/0!</v>
      </c>
      <c r="E115" s="250"/>
      <c r="F115" s="251"/>
      <c r="G115" s="251"/>
      <c r="H115" s="255" t="e">
        <f t="shared" si="2"/>
        <v>#DIV/0!</v>
      </c>
      <c r="I115" s="256">
        <f t="shared" si="3"/>
        <v>9.3220000000000004E-3</v>
      </c>
    </row>
    <row r="116" spans="1:9" ht="12" customHeight="1" x14ac:dyDescent="0.2">
      <c r="A116" s="250">
        <v>2.7</v>
      </c>
      <c r="B116" s="250">
        <f t="shared" si="0"/>
        <v>6.9335000000000004E-3</v>
      </c>
      <c r="C116" s="250">
        <v>6.9335000000000004E-3</v>
      </c>
      <c r="D116" s="250" t="e">
        <f t="shared" si="4"/>
        <v>#DIV/0!</v>
      </c>
      <c r="E116" s="250"/>
      <c r="F116" s="251"/>
      <c r="G116" s="251"/>
      <c r="H116" s="255" t="e">
        <f t="shared" si="2"/>
        <v>#DIV/0!</v>
      </c>
      <c r="I116" s="256">
        <f t="shared" si="3"/>
        <v>6.9335000000000004E-3</v>
      </c>
    </row>
    <row r="117" spans="1:9" ht="12" customHeight="1" x14ac:dyDescent="0.2">
      <c r="A117" s="250">
        <v>2.8</v>
      </c>
      <c r="B117" s="250">
        <f t="shared" si="0"/>
        <v>5.1098999999999997E-3</v>
      </c>
      <c r="C117" s="250">
        <v>5.1098999999999997E-3</v>
      </c>
      <c r="D117" s="250" t="e">
        <f t="shared" si="4"/>
        <v>#DIV/0!</v>
      </c>
      <c r="E117" s="250"/>
      <c r="F117" s="251"/>
      <c r="G117" s="251"/>
      <c r="H117" s="255" t="e">
        <f t="shared" si="2"/>
        <v>#DIV/0!</v>
      </c>
      <c r="I117" s="256">
        <f t="shared" si="3"/>
        <v>5.1098999999999997E-3</v>
      </c>
    </row>
    <row r="118" spans="1:9" ht="12" customHeight="1" x14ac:dyDescent="0.2">
      <c r="A118" s="250">
        <v>2.9</v>
      </c>
      <c r="B118" s="250">
        <f t="shared" si="0"/>
        <v>3.7312000000000001E-3</v>
      </c>
      <c r="C118" s="250">
        <v>3.7312000000000001E-3</v>
      </c>
      <c r="D118" s="250" t="e">
        <f t="shared" si="4"/>
        <v>#DIV/0!</v>
      </c>
      <c r="E118" s="250"/>
      <c r="F118" s="251"/>
      <c r="G118" s="251"/>
      <c r="H118" s="255" t="e">
        <f t="shared" si="2"/>
        <v>#DIV/0!</v>
      </c>
      <c r="I118" s="256">
        <f t="shared" si="3"/>
        <v>3.7312000000000001E-3</v>
      </c>
    </row>
    <row r="119" spans="1:9" ht="12" customHeight="1" x14ac:dyDescent="0.2"/>
    <row r="120" spans="1:9" ht="12" customHeight="1" x14ac:dyDescent="0.2"/>
    <row r="121" spans="1:9" ht="12" customHeight="1" x14ac:dyDescent="0.2"/>
    <row r="122" spans="1:9" ht="12" customHeight="1" x14ac:dyDescent="0.2"/>
    <row r="123" spans="1:9" ht="12" customHeight="1" x14ac:dyDescent="0.2"/>
    <row r="124" spans="1:9" ht="12" customHeight="1" x14ac:dyDescent="0.2"/>
    <row r="125" spans="1:9" ht="12" customHeight="1" x14ac:dyDescent="0.2"/>
    <row r="126" spans="1:9" ht="12" customHeight="1" x14ac:dyDescent="0.2"/>
    <row r="127" spans="1:9" ht="12" customHeight="1" x14ac:dyDescent="0.2"/>
    <row r="128" spans="1:9"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2" customHeight="1" x14ac:dyDescent="0.2"/>
    <row r="222" ht="12" customHeight="1" x14ac:dyDescent="0.2"/>
    <row r="223" ht="12" customHeight="1" x14ac:dyDescent="0.2"/>
    <row r="224" ht="12" customHeight="1" x14ac:dyDescent="0.2"/>
  </sheetData>
  <sheetProtection password="C774" sheet="1" objects="1" scenarios="1"/>
  <mergeCells count="11">
    <mergeCell ref="D25:E25"/>
    <mergeCell ref="E15:J16"/>
    <mergeCell ref="F9:G9"/>
    <mergeCell ref="D58:E58"/>
    <mergeCell ref="D26:E26"/>
    <mergeCell ref="I46:N46"/>
    <mergeCell ref="A1:F1"/>
    <mergeCell ref="L1:N1"/>
    <mergeCell ref="A19:K19"/>
    <mergeCell ref="A20:F20"/>
    <mergeCell ref="D24:E24"/>
  </mergeCells>
  <phoneticPr fontId="43" type="noConversion"/>
  <conditionalFormatting sqref="I48:K49">
    <cfRule type="cellIs" dxfId="0" priority="1" stopIfTrue="1" operator="lessThanOrEqual">
      <formula>0</formula>
    </cfRule>
  </conditionalFormatting>
  <dataValidations count="3">
    <dataValidation type="custom" allowBlank="1" showInputMessage="1" showErrorMessage="1" error="Enter a value greater than the lower bound" sqref="I49:K49">
      <formula1 xml:space="preserve"> SUM(I49) - SUM(#REF!) &gt;0</formula1>
    </dataValidation>
    <dataValidation type="decimal" operator="greaterThanOrEqual" allowBlank="1" showInputMessage="1" showErrorMessage="1" sqref="I48">
      <formula1>0</formula1>
    </dataValidation>
    <dataValidation type="list" allowBlank="1" showInputMessage="1" showErrorMessage="1" sqref="F8 F27">
      <formula1>$W$2:$W$5</formula1>
    </dataValidation>
  </dataValidations>
  <hyperlinks>
    <hyperlink ref="I1" location="'Main Menu'!A1" display="Main Menu"/>
    <hyperlink ref="F17" r:id="rId1"/>
    <hyperlink ref="G37" location="'Strat. Cohort CI (Rothman)'!A1" display="Strat. Cohort CI (Rothman)"/>
    <hyperlink ref="G38" location="'Strat. Cohort IR (Rothman)'!A1" display="Strat. Cohort IR (Rothman)"/>
  </hyperlinks>
  <pageMargins left="0.75" right="0.75" top="1" bottom="1" header="0.5" footer="0.5"/>
  <pageSetup orientation="portrait"/>
  <headerFooter alignWithMargins="0"/>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topLeftCell="A25" workbookViewId="0">
      <selection activeCell="E44" sqref="E44"/>
    </sheetView>
  </sheetViews>
  <sheetFormatPr defaultColWidth="9.140625" defaultRowHeight="12.75" x14ac:dyDescent="0.2"/>
  <cols>
    <col min="1" max="1" width="9.140625" style="75"/>
    <col min="2" max="2" width="11.7109375" style="75" customWidth="1"/>
    <col min="3" max="3" width="10.42578125" style="75" customWidth="1"/>
    <col min="4" max="9" width="9.140625" style="75"/>
    <col min="10" max="10" width="9.140625" style="97"/>
    <col min="11" max="11" width="10.140625" style="97" customWidth="1"/>
    <col min="12" max="14" width="9.140625" style="97"/>
    <col min="15" max="16384" width="9.140625" style="75"/>
  </cols>
  <sheetData>
    <row r="1" spans="1:14" ht="29.25" customHeight="1" x14ac:dyDescent="0.2">
      <c r="A1" s="462" t="s">
        <v>189</v>
      </c>
      <c r="B1" s="463"/>
      <c r="C1" s="463"/>
      <c r="D1" s="463"/>
      <c r="E1" s="463"/>
      <c r="F1" s="463"/>
      <c r="G1" s="464"/>
      <c r="K1" s="149" t="s">
        <v>179</v>
      </c>
    </row>
    <row r="2" spans="1:14" x14ac:dyDescent="0.2">
      <c r="A2" s="465"/>
      <c r="B2" s="466"/>
      <c r="C2" s="466"/>
      <c r="D2" s="466"/>
      <c r="E2" s="466"/>
      <c r="F2" s="466"/>
      <c r="G2" s="467"/>
    </row>
    <row r="3" spans="1:14" ht="14.25" customHeight="1" x14ac:dyDescent="0.2">
      <c r="A3" s="98"/>
      <c r="B3" s="99"/>
      <c r="C3" s="99"/>
      <c r="J3" s="100" t="s">
        <v>69</v>
      </c>
      <c r="K3" s="100"/>
      <c r="L3" s="100"/>
      <c r="M3" s="100"/>
      <c r="N3" s="100"/>
    </row>
    <row r="4" spans="1:14" x14ac:dyDescent="0.2">
      <c r="A4" s="99"/>
      <c r="B4" s="99" t="s">
        <v>141</v>
      </c>
      <c r="C4" s="99"/>
      <c r="J4" s="100"/>
      <c r="K4" s="100"/>
      <c r="L4" s="100" t="s">
        <v>70</v>
      </c>
      <c r="M4" s="100"/>
      <c r="N4" s="100"/>
    </row>
    <row r="5" spans="1:14" x14ac:dyDescent="0.2">
      <c r="B5" s="101" t="s">
        <v>71</v>
      </c>
      <c r="C5" s="101" t="s">
        <v>72</v>
      </c>
      <c r="J5" s="100" t="s">
        <v>73</v>
      </c>
      <c r="K5" s="100">
        <v>0.05</v>
      </c>
      <c r="L5" s="100">
        <v>0.1</v>
      </c>
      <c r="M5" s="100">
        <v>0.2</v>
      </c>
      <c r="N5" s="100">
        <v>0.5</v>
      </c>
    </row>
    <row r="6" spans="1:14" x14ac:dyDescent="0.2">
      <c r="A6" s="102" t="s">
        <v>74</v>
      </c>
      <c r="B6" s="96">
        <v>205</v>
      </c>
      <c r="C6" s="96">
        <v>30</v>
      </c>
      <c r="J6" s="100">
        <v>0.1</v>
      </c>
      <c r="K6" s="100">
        <v>10.8</v>
      </c>
      <c r="L6" s="100">
        <v>8.6</v>
      </c>
      <c r="M6" s="100">
        <v>6.2</v>
      </c>
      <c r="N6" s="100">
        <v>2.7</v>
      </c>
    </row>
    <row r="7" spans="1:14" x14ac:dyDescent="0.2">
      <c r="A7" s="102" t="s">
        <v>76</v>
      </c>
      <c r="B7" s="96">
        <v>200</v>
      </c>
      <c r="C7" s="96">
        <v>30</v>
      </c>
      <c r="J7" s="100">
        <v>0.05</v>
      </c>
      <c r="K7" s="100">
        <v>13</v>
      </c>
      <c r="L7" s="100">
        <v>10.5</v>
      </c>
      <c r="M7" s="100">
        <v>7.8</v>
      </c>
      <c r="N7" s="100">
        <v>3.8</v>
      </c>
    </row>
    <row r="8" spans="1:14" x14ac:dyDescent="0.2">
      <c r="J8" s="100">
        <v>0.02</v>
      </c>
      <c r="K8" s="100">
        <v>15.8</v>
      </c>
      <c r="L8" s="100">
        <v>13</v>
      </c>
      <c r="M8" s="100">
        <v>10</v>
      </c>
      <c r="N8" s="100">
        <v>5.4</v>
      </c>
    </row>
    <row r="9" spans="1:14" x14ac:dyDescent="0.2">
      <c r="A9" s="257" t="s">
        <v>322</v>
      </c>
      <c r="C9" s="267">
        <f>(ABS(B7-B6)/B6*100)</f>
        <v>2.4390243902439024</v>
      </c>
      <c r="D9" s="75" t="s">
        <v>75</v>
      </c>
      <c r="J9" s="100">
        <v>0.01</v>
      </c>
      <c r="K9" s="100">
        <v>17.8</v>
      </c>
      <c r="L9" s="100">
        <v>14.9</v>
      </c>
      <c r="M9" s="100">
        <v>11.7</v>
      </c>
      <c r="N9" s="100">
        <v>6.6</v>
      </c>
    </row>
    <row r="13" spans="1:14" x14ac:dyDescent="0.2">
      <c r="C13" s="450" t="s">
        <v>77</v>
      </c>
      <c r="D13" s="451"/>
      <c r="E13" s="451"/>
      <c r="F13" s="452"/>
    </row>
    <row r="14" spans="1:14" x14ac:dyDescent="0.2">
      <c r="A14" s="99" t="s">
        <v>78</v>
      </c>
      <c r="C14" s="99"/>
      <c r="D14" s="99" t="s">
        <v>79</v>
      </c>
      <c r="E14" s="99"/>
      <c r="F14" s="99"/>
    </row>
    <row r="15" spans="1:14" x14ac:dyDescent="0.2">
      <c r="A15" s="99" t="s">
        <v>80</v>
      </c>
      <c r="C15" s="103">
        <v>0.95</v>
      </c>
      <c r="D15" s="103">
        <v>0.9</v>
      </c>
      <c r="E15" s="103">
        <v>0.8</v>
      </c>
      <c r="F15" s="103">
        <v>0.5</v>
      </c>
    </row>
    <row r="16" spans="1:14" x14ac:dyDescent="0.2">
      <c r="A16" s="104"/>
      <c r="B16" s="105">
        <v>0.1</v>
      </c>
      <c r="C16" s="106">
        <f t="shared" ref="C16:F19" si="0">(($C$6^2+$C$7^2)*K6)/($B$6-$B$7)^2</f>
        <v>777.6</v>
      </c>
      <c r="D16" s="107">
        <f t="shared" si="0"/>
        <v>619.20000000000005</v>
      </c>
      <c r="E16" s="107">
        <f t="shared" si="0"/>
        <v>446.4</v>
      </c>
      <c r="F16" s="108">
        <f t="shared" si="0"/>
        <v>194.4</v>
      </c>
      <c r="G16" s="75" t="s">
        <v>81</v>
      </c>
    </row>
    <row r="17" spans="1:10" x14ac:dyDescent="0.2">
      <c r="A17" s="104"/>
      <c r="B17" s="105">
        <v>0.05</v>
      </c>
      <c r="C17" s="109">
        <f t="shared" si="0"/>
        <v>936</v>
      </c>
      <c r="D17" s="110">
        <f t="shared" si="0"/>
        <v>756</v>
      </c>
      <c r="E17" s="110">
        <f t="shared" si="0"/>
        <v>561.6</v>
      </c>
      <c r="F17" s="111">
        <f t="shared" si="0"/>
        <v>273.60000000000002</v>
      </c>
      <c r="G17" s="75" t="s">
        <v>82</v>
      </c>
    </row>
    <row r="18" spans="1:10" x14ac:dyDescent="0.2">
      <c r="A18" s="104"/>
      <c r="B18" s="105">
        <v>0.02</v>
      </c>
      <c r="C18" s="109">
        <f t="shared" si="0"/>
        <v>1137.5999999999999</v>
      </c>
      <c r="D18" s="112">
        <f t="shared" si="0"/>
        <v>936</v>
      </c>
      <c r="E18" s="112">
        <f t="shared" si="0"/>
        <v>720</v>
      </c>
      <c r="F18" s="111">
        <f t="shared" si="0"/>
        <v>388.8</v>
      </c>
      <c r="G18" s="75" t="s">
        <v>83</v>
      </c>
    </row>
    <row r="19" spans="1:10" x14ac:dyDescent="0.2">
      <c r="A19" s="104"/>
      <c r="B19" s="105">
        <v>0.01</v>
      </c>
      <c r="C19" s="113">
        <f t="shared" si="0"/>
        <v>1281.5999999999999</v>
      </c>
      <c r="D19" s="114">
        <f t="shared" si="0"/>
        <v>1072.8</v>
      </c>
      <c r="E19" s="114">
        <f t="shared" si="0"/>
        <v>842.4</v>
      </c>
      <c r="F19" s="115">
        <f t="shared" si="0"/>
        <v>475.2</v>
      </c>
    </row>
    <row r="20" spans="1:10" x14ac:dyDescent="0.2">
      <c r="A20" s="116" t="s">
        <v>84</v>
      </c>
      <c r="B20" s="117"/>
      <c r="C20" s="118"/>
      <c r="D20" s="118"/>
      <c r="E20" s="118"/>
      <c r="F20" s="118"/>
      <c r="G20" s="117"/>
      <c r="H20" s="117"/>
      <c r="I20" s="117"/>
    </row>
    <row r="21" spans="1:10" ht="26.25" customHeight="1" x14ac:dyDescent="0.2">
      <c r="A21" s="98"/>
      <c r="B21" s="99"/>
      <c r="C21" s="99"/>
    </row>
    <row r="22" spans="1:10" x14ac:dyDescent="0.2">
      <c r="A22" s="99"/>
      <c r="B22" s="99" t="s">
        <v>141</v>
      </c>
      <c r="C22" s="99"/>
    </row>
    <row r="23" spans="1:10" x14ac:dyDescent="0.2">
      <c r="B23" s="101" t="s">
        <v>85</v>
      </c>
      <c r="C23" s="101" t="s">
        <v>86</v>
      </c>
    </row>
    <row r="24" spans="1:10" x14ac:dyDescent="0.2">
      <c r="A24" s="102" t="s">
        <v>74</v>
      </c>
      <c r="B24" s="96">
        <v>0.4</v>
      </c>
      <c r="C24" s="75">
        <f>(1-B24)</f>
        <v>0.6</v>
      </c>
    </row>
    <row r="25" spans="1:10" x14ac:dyDescent="0.2">
      <c r="A25" s="102" t="s">
        <v>76</v>
      </c>
      <c r="B25" s="96">
        <v>0.1</v>
      </c>
      <c r="C25" s="75">
        <f>(1-B25)</f>
        <v>0.9</v>
      </c>
    </row>
    <row r="27" spans="1:10" x14ac:dyDescent="0.2">
      <c r="A27" s="257" t="s">
        <v>321</v>
      </c>
      <c r="C27" s="267">
        <f>(ABS(B25-B24)/B24*100)</f>
        <v>75.000000000000014</v>
      </c>
      <c r="D27" s="257" t="s">
        <v>75</v>
      </c>
    </row>
    <row r="28" spans="1:10" x14ac:dyDescent="0.2">
      <c r="C28" s="450" t="s">
        <v>77</v>
      </c>
      <c r="D28" s="451"/>
      <c r="E28" s="451"/>
      <c r="F28" s="452"/>
    </row>
    <row r="29" spans="1:10" x14ac:dyDescent="0.2">
      <c r="A29" s="99" t="s">
        <v>78</v>
      </c>
      <c r="C29" s="99"/>
      <c r="D29" s="99" t="s">
        <v>79</v>
      </c>
      <c r="E29" s="99"/>
      <c r="F29" s="99"/>
    </row>
    <row r="30" spans="1:10" x14ac:dyDescent="0.2">
      <c r="A30" s="99" t="s">
        <v>80</v>
      </c>
      <c r="C30" s="103">
        <v>0.95</v>
      </c>
      <c r="D30" s="103">
        <v>0.9</v>
      </c>
      <c r="E30" s="103">
        <v>0.8</v>
      </c>
      <c r="F30" s="103">
        <v>0.5</v>
      </c>
    </row>
    <row r="31" spans="1:10" x14ac:dyDescent="0.2">
      <c r="B31" s="105">
        <v>0.1</v>
      </c>
      <c r="C31" s="106">
        <f t="shared" ref="C31:F34" si="1">(($B$24*$C$24+$B$25*$C$25)*(K6))/($B$24-$B$25)^2</f>
        <v>39.599999999999994</v>
      </c>
      <c r="D31" s="107">
        <f t="shared" si="1"/>
        <v>31.533333333333324</v>
      </c>
      <c r="E31" s="107">
        <f t="shared" si="1"/>
        <v>22.733333333333331</v>
      </c>
      <c r="F31" s="108">
        <f t="shared" si="1"/>
        <v>9.8999999999999986</v>
      </c>
      <c r="H31" s="453" t="s">
        <v>383</v>
      </c>
      <c r="I31" s="454"/>
      <c r="J31" s="455"/>
    </row>
    <row r="32" spans="1:10" x14ac:dyDescent="0.2">
      <c r="B32" s="105">
        <v>0.05</v>
      </c>
      <c r="C32" s="109">
        <f t="shared" si="1"/>
        <v>47.666666666666657</v>
      </c>
      <c r="D32" s="110">
        <f t="shared" si="1"/>
        <v>38.499999999999993</v>
      </c>
      <c r="E32" s="110">
        <f t="shared" si="1"/>
        <v>28.599999999999991</v>
      </c>
      <c r="F32" s="111">
        <f t="shared" si="1"/>
        <v>13.93333333333333</v>
      </c>
      <c r="H32" s="456"/>
      <c r="I32" s="457"/>
      <c r="J32" s="458"/>
    </row>
    <row r="33" spans="1:10" x14ac:dyDescent="0.2">
      <c r="B33" s="105">
        <v>0.02</v>
      </c>
      <c r="C33" s="109">
        <f t="shared" si="1"/>
        <v>57.933333333333323</v>
      </c>
      <c r="D33" s="112">
        <f t="shared" si="1"/>
        <v>47.666666666666657</v>
      </c>
      <c r="E33" s="112">
        <f t="shared" si="1"/>
        <v>36.666666666666657</v>
      </c>
      <c r="F33" s="111">
        <f t="shared" si="1"/>
        <v>19.799999999999997</v>
      </c>
      <c r="H33" s="459"/>
      <c r="I33" s="460"/>
      <c r="J33" s="461"/>
    </row>
    <row r="34" spans="1:10" x14ac:dyDescent="0.2">
      <c r="B34" s="105">
        <v>0.01</v>
      </c>
      <c r="C34" s="113">
        <f t="shared" si="1"/>
        <v>65.266666666666652</v>
      </c>
      <c r="D34" s="114">
        <f t="shared" si="1"/>
        <v>54.633333333333326</v>
      </c>
      <c r="E34" s="114">
        <f t="shared" si="1"/>
        <v>42.899999999999984</v>
      </c>
      <c r="F34" s="115">
        <f t="shared" si="1"/>
        <v>24.199999999999992</v>
      </c>
    </row>
    <row r="37" spans="1:10" x14ac:dyDescent="0.2">
      <c r="A37" s="75" t="s">
        <v>384</v>
      </c>
    </row>
    <row r="39" spans="1:10" x14ac:dyDescent="0.2">
      <c r="B39" s="75" t="s">
        <v>385</v>
      </c>
      <c r="C39" s="338">
        <v>0.6</v>
      </c>
    </row>
    <row r="40" spans="1:10" x14ac:dyDescent="0.2">
      <c r="B40" s="75" t="s">
        <v>386</v>
      </c>
      <c r="C40" s="338">
        <v>0.9</v>
      </c>
    </row>
    <row r="41" spans="1:10" x14ac:dyDescent="0.2">
      <c r="B41" s="75" t="s">
        <v>387</v>
      </c>
      <c r="C41" s="338">
        <f>AVERAGE(C39:C40)</f>
        <v>0.75</v>
      </c>
    </row>
    <row r="42" spans="1:10" x14ac:dyDescent="0.2">
      <c r="B42" s="75" t="s">
        <v>388</v>
      </c>
      <c r="C42" s="339">
        <f>ABS(C39-C40)/SQRT(C41*(1-C41))</f>
        <v>0.69282032302755103</v>
      </c>
    </row>
    <row r="44" spans="1:10" ht="15.75" x14ac:dyDescent="0.3">
      <c r="B44" s="340" t="s">
        <v>390</v>
      </c>
      <c r="C44" s="338">
        <v>1.96</v>
      </c>
    </row>
    <row r="45" spans="1:10" ht="15.75" x14ac:dyDescent="0.3">
      <c r="B45" s="340" t="s">
        <v>389</v>
      </c>
      <c r="C45" s="338">
        <v>0.84</v>
      </c>
    </row>
    <row r="46" spans="1:10" x14ac:dyDescent="0.2">
      <c r="B46" s="340" t="s">
        <v>391</v>
      </c>
      <c r="C46" s="75">
        <f>2*((C44+C45)/C42)^2</f>
        <v>32.666666666666657</v>
      </c>
    </row>
  </sheetData>
  <sheetProtection password="C774" sheet="1" objects="1" scenarios="1"/>
  <protectedRanges>
    <protectedRange sqref="C39:C41" name="Range1"/>
  </protectedRanges>
  <mergeCells count="4">
    <mergeCell ref="C28:F28"/>
    <mergeCell ref="H31:J33"/>
    <mergeCell ref="C13:F13"/>
    <mergeCell ref="A1:G2"/>
  </mergeCells>
  <phoneticPr fontId="0" type="noConversion"/>
  <hyperlinks>
    <hyperlink ref="K1" location="'Main Menu'!A1" display="Main Menu"/>
  </hyperlinks>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workbookViewId="0">
      <selection activeCell="K1" sqref="K1"/>
    </sheetView>
  </sheetViews>
  <sheetFormatPr defaultColWidth="8.7109375" defaultRowHeight="12.75" x14ac:dyDescent="0.2"/>
  <sheetData>
    <row r="1" spans="1:11" x14ac:dyDescent="0.2">
      <c r="A1" s="468" t="s">
        <v>246</v>
      </c>
      <c r="B1" s="469"/>
      <c r="C1" s="469"/>
      <c r="D1" s="469"/>
      <c r="E1" s="469"/>
      <c r="F1" s="470"/>
      <c r="K1" s="146" t="s">
        <v>179</v>
      </c>
    </row>
    <row r="2" spans="1:11" x14ac:dyDescent="0.2">
      <c r="C2" s="471" t="s">
        <v>247</v>
      </c>
      <c r="D2" s="471"/>
      <c r="E2" s="150">
        <v>4</v>
      </c>
    </row>
    <row r="3" spans="1:11" x14ac:dyDescent="0.2">
      <c r="C3" s="41"/>
      <c r="D3" s="41"/>
      <c r="E3" s="202"/>
    </row>
    <row r="4" spans="1:11" x14ac:dyDescent="0.2">
      <c r="C4" s="471" t="s">
        <v>248</v>
      </c>
      <c r="D4" s="471"/>
      <c r="E4" s="150">
        <v>7</v>
      </c>
    </row>
    <row r="5" spans="1:11" x14ac:dyDescent="0.2">
      <c r="C5" s="41"/>
      <c r="D5" s="41"/>
    </row>
    <row r="6" spans="1:11" x14ac:dyDescent="0.2">
      <c r="C6" s="23"/>
    </row>
    <row r="7" spans="1:11" x14ac:dyDescent="0.2">
      <c r="C7" s="59" t="s">
        <v>253</v>
      </c>
      <c r="D7" s="95"/>
      <c r="E7" s="206">
        <f ca="1">D14</f>
        <v>2</v>
      </c>
    </row>
    <row r="10" spans="1:11" x14ac:dyDescent="0.2">
      <c r="C10" s="203" t="s">
        <v>249</v>
      </c>
      <c r="D10" s="204">
        <f ca="1">RAND()</f>
        <v>0.32071565272547209</v>
      </c>
    </row>
    <row r="11" spans="1:11" x14ac:dyDescent="0.2">
      <c r="C11" s="204"/>
      <c r="D11" s="204">
        <f ca="1">TRUNC(D10*100,0)</f>
        <v>32</v>
      </c>
    </row>
    <row r="12" spans="1:11" x14ac:dyDescent="0.2">
      <c r="C12" s="205" t="s">
        <v>250</v>
      </c>
      <c r="D12" s="204">
        <f ca="1">D11*E2</f>
        <v>128</v>
      </c>
    </row>
    <row r="13" spans="1:11" x14ac:dyDescent="0.2">
      <c r="C13" s="205" t="s">
        <v>251</v>
      </c>
      <c r="D13" s="204">
        <f ca="1">D12/100</f>
        <v>1.28</v>
      </c>
    </row>
    <row r="14" spans="1:11" x14ac:dyDescent="0.2">
      <c r="C14" s="205" t="s">
        <v>252</v>
      </c>
      <c r="D14" s="204">
        <f ca="1">TRUNC(D13,0)+1</f>
        <v>2</v>
      </c>
    </row>
  </sheetData>
  <sheetProtection password="C774" sheet="1" objects="1" scenarios="1"/>
  <mergeCells count="3">
    <mergeCell ref="A1:F1"/>
    <mergeCell ref="C2:D2"/>
    <mergeCell ref="C4:D4"/>
  </mergeCells>
  <phoneticPr fontId="43" type="noConversion"/>
  <hyperlinks>
    <hyperlink ref="K1" location="'Main Menu'!A1" display="Main Menu"/>
  </hyperlinks>
  <pageMargins left="0.75" right="0.75" top="1" bottom="1" header="0.5" footer="0.5"/>
  <pageSetup orientation="portrait" verticalDpi="0"/>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Main Menu</vt:lpstr>
      <vt:lpstr>Epidemic curve</vt:lpstr>
      <vt:lpstr>CI - One Group</vt:lpstr>
      <vt:lpstr>Chi Squared Test</vt:lpstr>
      <vt:lpstr>Case-Control</vt:lpstr>
      <vt:lpstr>IR &amp; CI</vt:lpstr>
      <vt:lpstr>Cohort Studies</vt:lpstr>
      <vt:lpstr>Sample Size</vt:lpstr>
      <vt:lpstr>Random # Generator</vt:lpstr>
      <vt:lpstr>Standard Deviation</vt:lpstr>
      <vt:lpstr>Direct Standardization</vt:lpstr>
      <vt:lpstr>Standardized Incidence Ratio</vt:lpstr>
      <vt:lpstr>Poisson Prob</vt:lpstr>
      <vt:lpstr>Binomial Prob.</vt:lpstr>
      <vt:lpstr>Normal Probability</vt:lpstr>
      <vt:lpstr>Activity &amp; BMI</vt:lpstr>
      <vt:lpstr>Screening</vt:lpstr>
      <vt:lpstr>Descriptive Statistics</vt:lpstr>
      <vt:lpstr>Skewed Distribution </vt:lpstr>
      <vt:lpstr>T-tests</vt:lpstr>
      <vt:lpstr>T-test (Unpaired)</vt:lpstr>
      <vt:lpstr>Correlation &amp; Linear Regression</vt:lpstr>
      <vt:lpstr>ANOVA</vt:lpstr>
      <vt:lpstr>Survival Curve</vt:lpstr>
      <vt:lpstr>RR(mh)</vt:lpstr>
      <vt:lpstr>Confounding Example</vt:lpstr>
      <vt:lpstr>OR(mh)</vt:lpstr>
      <vt:lpstr>Birth defects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Wayne LaMorte</dc:creator>
  <cp:lastModifiedBy>Lamorte, Wayne W</cp:lastModifiedBy>
  <dcterms:created xsi:type="dcterms:W3CDTF">2004-11-25T11:57:22Z</dcterms:created>
  <dcterms:modified xsi:type="dcterms:W3CDTF">2016-02-15T13:40:33Z</dcterms:modified>
</cp:coreProperties>
</file>